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<sst xmlns="http://schemas.openxmlformats.org/spreadsheetml/2006/main" count="195" uniqueCount="153">
  <si>
    <t>Lognormal Interest rate model</t>
  </si>
  <si>
    <t>recombining</t>
  </si>
  <si>
    <t>Step 1 Build x tree</t>
  </si>
  <si>
    <t>Step 2 Compute probabilities</t>
  </si>
  <si>
    <t xml:space="preserve">  </t>
  </si>
  <si>
    <t>Tree of zero bond prices</t>
  </si>
  <si>
    <t>mean reversion</t>
  </si>
  <si>
    <t>q1</t>
  </si>
  <si>
    <t>r1</t>
  </si>
  <si>
    <t>q(r2|r1)</t>
  </si>
  <si>
    <t>r2</t>
  </si>
  <si>
    <t>q(r3|r2)</t>
  </si>
  <si>
    <t>r3</t>
  </si>
  <si>
    <t>q(r4|r3)</t>
  </si>
  <si>
    <t>r4</t>
  </si>
  <si>
    <t>prob r2</t>
  </si>
  <si>
    <t>prob r3</t>
  </si>
  <si>
    <t>prob r4</t>
  </si>
  <si>
    <t>mean, vol test of x1</t>
  </si>
  <si>
    <t>mean, vol test of x2</t>
  </si>
  <si>
    <t>mean, vol test of x3</t>
  </si>
  <si>
    <t>mean, vol test of x4</t>
  </si>
  <si>
    <t>Volatility test summary</t>
  </si>
  <si>
    <t>inputs</t>
  </si>
  <si>
    <t>build tree of x1</t>
  </si>
  <si>
    <t>compute cond prob of x2 given x1</t>
  </si>
  <si>
    <t>ln</t>
  </si>
  <si>
    <t>prob</t>
  </si>
  <si>
    <t>product</t>
  </si>
  <si>
    <t>dev</t>
  </si>
  <si>
    <t>dev squ</t>
  </si>
  <si>
    <t>mean</t>
  </si>
  <si>
    <t>ln x2</t>
  </si>
  <si>
    <t>deviation</t>
  </si>
  <si>
    <t>x3</t>
  </si>
  <si>
    <t>ln x3</t>
  </si>
  <si>
    <t>x4</t>
  </si>
  <si>
    <t>ln x4</t>
  </si>
  <si>
    <t>short rate</t>
  </si>
  <si>
    <t>local vols</t>
  </si>
  <si>
    <t>t</t>
  </si>
  <si>
    <t>dx1</t>
  </si>
  <si>
    <t>q(x2|x1=x1u)</t>
  </si>
  <si>
    <t>true vol</t>
  </si>
  <si>
    <t>true mean</t>
  </si>
  <si>
    <t>ux1</t>
  </si>
  <si>
    <t>q(x2|x1=x1d)</t>
  </si>
  <si>
    <t>build tree of x2</t>
  </si>
  <si>
    <t>compute cond prob of x3 given x2</t>
  </si>
  <si>
    <t>log mean</t>
  </si>
  <si>
    <t>var</t>
  </si>
  <si>
    <t>dx2</t>
  </si>
  <si>
    <t>x2uu</t>
  </si>
  <si>
    <t>q(x3|x2=x2uu)</t>
  </si>
  <si>
    <t>vol</t>
  </si>
  <si>
    <t>ux2</t>
  </si>
  <si>
    <t>x2ud</t>
  </si>
  <si>
    <t>q(x3|x2=x2ud)</t>
  </si>
  <si>
    <t>x2dd</t>
  </si>
  <si>
    <t>q(x3|x2=x2dd)</t>
  </si>
  <si>
    <t>bin process vol</t>
  </si>
  <si>
    <t>bin process mean</t>
  </si>
  <si>
    <t>parameter computations</t>
  </si>
  <si>
    <t>build tree of x3</t>
  </si>
  <si>
    <t>a(x2)</t>
  </si>
  <si>
    <t>dx3</t>
  </si>
  <si>
    <t>compute cond prob of x4 given x3</t>
  </si>
  <si>
    <t>a(x3)</t>
  </si>
  <si>
    <t>ux3</t>
  </si>
  <si>
    <t>q(x4|x3=x3uuu)</t>
  </si>
  <si>
    <t>a(x4)</t>
  </si>
  <si>
    <t>q(x4|x3=x3uud)</t>
  </si>
  <si>
    <t>q(x4|x3=x3udd)</t>
  </si>
  <si>
    <t>q(x4|x3=x3ddd)</t>
  </si>
  <si>
    <t>build tree of x4</t>
  </si>
  <si>
    <t>dx4</t>
  </si>
  <si>
    <t>ux4</t>
  </si>
  <si>
    <t>x2dddd</t>
  </si>
  <si>
    <t>1-bx</t>
  </si>
  <si>
    <t>mean, volatility test</t>
  </si>
  <si>
    <t>Tree of probabilities</t>
  </si>
  <si>
    <t>Step 4: Tree of zero-bond prices</t>
  </si>
  <si>
    <t>b01</t>
  </si>
  <si>
    <t>b02</t>
  </si>
  <si>
    <t>b03</t>
  </si>
  <si>
    <t>b04</t>
  </si>
  <si>
    <t>b05</t>
  </si>
  <si>
    <t>b12</t>
  </si>
  <si>
    <t>b13</t>
  </si>
  <si>
    <t>b14</t>
  </si>
  <si>
    <t>b15</t>
  </si>
  <si>
    <t>b23</t>
  </si>
  <si>
    <t>b24</t>
  </si>
  <si>
    <t>b2,5</t>
  </si>
  <si>
    <t>b34</t>
  </si>
  <si>
    <t>b35</t>
  </si>
  <si>
    <t>b45</t>
  </si>
  <si>
    <t>b55</t>
  </si>
  <si>
    <t>t=1</t>
  </si>
  <si>
    <t>t=2</t>
  </si>
  <si>
    <t>t=3</t>
  </si>
  <si>
    <t>t=4</t>
  </si>
  <si>
    <t>Step 5: Tree of yield rates</t>
  </si>
  <si>
    <t>yld01</t>
  </si>
  <si>
    <t>yld02</t>
  </si>
  <si>
    <t>yld03</t>
  </si>
  <si>
    <t>yld04</t>
  </si>
  <si>
    <t>yld05</t>
  </si>
  <si>
    <t>yld12</t>
  </si>
  <si>
    <t>yld13</t>
  </si>
  <si>
    <t>yld14</t>
  </si>
  <si>
    <t>yld15</t>
  </si>
  <si>
    <t>yld23</t>
  </si>
  <si>
    <t>yld24</t>
  </si>
  <si>
    <t>yld25</t>
  </si>
  <si>
    <t>yld34</t>
  </si>
  <si>
    <t>yld35</t>
  </si>
  <si>
    <t>yld45</t>
  </si>
  <si>
    <t>futures 1</t>
  </si>
  <si>
    <t>futures 2</t>
  </si>
  <si>
    <t>futures 3</t>
  </si>
  <si>
    <t>futures 4</t>
  </si>
  <si>
    <t>vol x1</t>
  </si>
  <si>
    <t>vol x2</t>
  </si>
  <si>
    <t>vol x3</t>
  </si>
  <si>
    <t>vol x4</t>
  </si>
  <si>
    <t>cap vols</t>
  </si>
  <si>
    <t>f12</t>
  </si>
  <si>
    <t>r0</t>
  </si>
  <si>
    <t>f23</t>
  </si>
  <si>
    <t>f34</t>
  </si>
  <si>
    <t>f01</t>
  </si>
  <si>
    <t>Step 3 Tree of rates</t>
  </si>
  <si>
    <t>x3uuu</t>
  </si>
  <si>
    <t>x3uud</t>
  </si>
  <si>
    <t>x3udd</t>
  </si>
  <si>
    <t>x3ddd</t>
  </si>
  <si>
    <t>x4uuuu</t>
  </si>
  <si>
    <t>x4uuud</t>
  </si>
  <si>
    <t>x4udud</t>
  </si>
  <si>
    <t>x4uddd</t>
  </si>
  <si>
    <t>8% coupon bond</t>
  </si>
  <si>
    <t>Step 6: Tree of swap rates</t>
  </si>
  <si>
    <t>s05</t>
  </si>
  <si>
    <t>s15</t>
  </si>
  <si>
    <t>s25</t>
  </si>
  <si>
    <t>s35</t>
  </si>
  <si>
    <t>s24</t>
  </si>
  <si>
    <t>s14</t>
  </si>
  <si>
    <t>s13</t>
  </si>
  <si>
    <t>s02</t>
  </si>
  <si>
    <t>s03</t>
  </si>
  <si>
    <t>s04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</si>
</sst>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"/>
    <numFmt numFmtId="166" formatCode="0.00000%"/>
    <numFmt numFmtId="167" formatCode="0.00000000"/>
    <numFmt numFmtId="168" formatCode="0.000000"/>
    <numFmt numFmtId="169" formatCode="0.0000000"/>
    <numFmt numFmtId="170" formatCode="0.0000"/>
    <numFmt numFmtId="171" formatCode="0.000000000"/>
    <numFmt numFmtId="172" formatCode="0.0"/>
    <numFmt numFmtId="173" formatCode="0.0000%"/>
    <numFmt numFmtId="174" formatCode="0.000%"/>
    <numFmt numFmtId="175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 quotePrefix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 quotePrefix="1">
      <alignment horizontal="left"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8" fontId="1" fillId="0" borderId="0" xfId="0" applyNumberFormat="1" applyFont="1" applyAlignment="1" quotePrefix="1">
      <alignment horizontal="left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Alignment="1" quotePrefix="1">
      <alignment horizontal="center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0" fontId="0" fillId="0" borderId="0" xfId="0" applyNumberFormat="1" applyAlignment="1">
      <alignment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4"/>
  <sheetViews>
    <sheetView tabSelected="1" workbookViewId="0" topLeftCell="AQ28">
      <selection activeCell="BC56" sqref="BC56"/>
    </sheetView>
  </sheetViews>
  <sheetFormatPr defaultColWidth="9.140625" defaultRowHeight="12.75"/>
  <cols>
    <col min="3" max="3" width="14.7109375" style="0" customWidth="1"/>
    <col min="21" max="21" width="7.00390625" style="0" customWidth="1"/>
    <col min="22" max="23" width="8.57421875" style="0" customWidth="1"/>
    <col min="33" max="33" width="7.57421875" style="0" customWidth="1"/>
    <col min="34" max="34" width="7.7109375" style="0" customWidth="1"/>
    <col min="35" max="35" width="6.8515625" style="0" customWidth="1"/>
    <col min="36" max="36" width="7.28125" style="0" customWidth="1"/>
    <col min="37" max="39" width="7.7109375" style="0" customWidth="1"/>
    <col min="40" max="40" width="7.28125" style="0" customWidth="1"/>
    <col min="41" max="41" width="7.00390625" style="0" customWidth="1"/>
    <col min="42" max="42" width="7.421875" style="0" customWidth="1"/>
    <col min="43" max="43" width="7.57421875" style="0" customWidth="1"/>
    <col min="44" max="45" width="7.7109375" style="0" customWidth="1"/>
    <col min="46" max="46" width="7.57421875" style="0" customWidth="1"/>
    <col min="47" max="47" width="7.8515625" style="0" customWidth="1"/>
    <col min="48" max="48" width="8.00390625" style="0" customWidth="1"/>
    <col min="50" max="50" width="7.28125" style="0" customWidth="1"/>
    <col min="51" max="51" width="6.8515625" style="0" customWidth="1"/>
    <col min="52" max="52" width="7.140625" style="0" customWidth="1"/>
    <col min="53" max="54" width="6.57421875" style="0" customWidth="1"/>
    <col min="55" max="56" width="6.8515625" style="0" customWidth="1"/>
    <col min="57" max="57" width="6.7109375" style="0" customWidth="1"/>
    <col min="58" max="58" width="7.421875" style="0" customWidth="1"/>
    <col min="59" max="59" width="6.7109375" style="0" customWidth="1"/>
    <col min="60" max="60" width="7.140625" style="0" customWidth="1"/>
    <col min="61" max="61" width="7.7109375" style="0" customWidth="1"/>
    <col min="62" max="62" width="8.00390625" style="0" customWidth="1"/>
    <col min="63" max="63" width="8.28125" style="0" customWidth="1"/>
    <col min="64" max="64" width="7.7109375" style="0" customWidth="1"/>
    <col min="67" max="67" width="7.7109375" style="0" customWidth="1"/>
    <col min="68" max="68" width="7.421875" style="0" customWidth="1"/>
    <col min="69" max="69" width="7.57421875" style="0" customWidth="1"/>
    <col min="70" max="70" width="8.140625" style="0" customWidth="1"/>
    <col min="71" max="71" width="8.00390625" style="0" customWidth="1"/>
    <col min="72" max="72" width="7.8515625" style="0" customWidth="1"/>
  </cols>
  <sheetData>
    <row r="1" spans="2:75" ht="12.75">
      <c r="B1" s="1" t="s">
        <v>0</v>
      </c>
      <c r="E1" t="s">
        <v>1</v>
      </c>
      <c r="I1" s="2" t="s">
        <v>2</v>
      </c>
      <c r="N1" s="3" t="s">
        <v>3</v>
      </c>
      <c r="AG1" s="23" t="s">
        <v>81</v>
      </c>
      <c r="AH1" s="20"/>
      <c r="AI1" s="20"/>
      <c r="AJ1" s="23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X1" s="23" t="s">
        <v>102</v>
      </c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Q1" s="23" t="s">
        <v>142</v>
      </c>
      <c r="BR1" s="23"/>
      <c r="BS1" s="23"/>
      <c r="BT1" s="20"/>
      <c r="BU1" s="20"/>
      <c r="BV1" s="20"/>
      <c r="BW1" s="20"/>
    </row>
    <row r="2" spans="5:75" ht="12.75">
      <c r="E2" t="s">
        <v>6</v>
      </c>
      <c r="R2" s="23" t="s">
        <v>132</v>
      </c>
      <c r="S2" s="23"/>
      <c r="T2" s="20"/>
      <c r="U2" s="20"/>
      <c r="V2" s="20"/>
      <c r="W2" s="20"/>
      <c r="X2" s="20"/>
      <c r="Y2" s="20"/>
      <c r="Z2" s="20"/>
      <c r="AA2" s="20"/>
      <c r="AB2" s="28" t="s">
        <v>80</v>
      </c>
      <c r="AC2" s="20"/>
      <c r="AD2" s="20"/>
      <c r="AG2" s="30" t="s">
        <v>82</v>
      </c>
      <c r="AH2" s="30" t="s">
        <v>83</v>
      </c>
      <c r="AI2" s="20" t="s">
        <v>84</v>
      </c>
      <c r="AJ2" s="30" t="s">
        <v>85</v>
      </c>
      <c r="AK2" s="30" t="s">
        <v>86</v>
      </c>
      <c r="AL2" s="30" t="s">
        <v>87</v>
      </c>
      <c r="AM2" s="30" t="s">
        <v>88</v>
      </c>
      <c r="AN2" s="30" t="s">
        <v>89</v>
      </c>
      <c r="AO2" s="33" t="s">
        <v>90</v>
      </c>
      <c r="AP2" s="33" t="s">
        <v>91</v>
      </c>
      <c r="AQ2" s="30" t="s">
        <v>92</v>
      </c>
      <c r="AR2" s="30" t="s">
        <v>93</v>
      </c>
      <c r="AS2" s="30" t="s">
        <v>94</v>
      </c>
      <c r="AT2" s="30" t="s">
        <v>95</v>
      </c>
      <c r="AU2" s="30" t="s">
        <v>96</v>
      </c>
      <c r="AV2" s="30" t="s">
        <v>97</v>
      </c>
      <c r="AX2" s="20" t="s">
        <v>103</v>
      </c>
      <c r="AY2" s="33" t="s">
        <v>104</v>
      </c>
      <c r="AZ2" s="33" t="s">
        <v>105</v>
      </c>
      <c r="BA2" s="33" t="s">
        <v>106</v>
      </c>
      <c r="BB2" s="33" t="s">
        <v>107</v>
      </c>
      <c r="BC2" s="30" t="s">
        <v>108</v>
      </c>
      <c r="BD2" s="30" t="s">
        <v>109</v>
      </c>
      <c r="BE2" s="30" t="s">
        <v>110</v>
      </c>
      <c r="BF2" s="33" t="s">
        <v>111</v>
      </c>
      <c r="BG2" s="30" t="s">
        <v>112</v>
      </c>
      <c r="BH2" s="30" t="s">
        <v>113</v>
      </c>
      <c r="BI2" s="30" t="s">
        <v>114</v>
      </c>
      <c r="BJ2" s="30" t="s">
        <v>115</v>
      </c>
      <c r="BK2" s="5" t="s">
        <v>116</v>
      </c>
      <c r="BL2" s="5" t="s">
        <v>117</v>
      </c>
      <c r="BQ2" s="30"/>
      <c r="BR2" s="30"/>
      <c r="BS2" s="30"/>
      <c r="BT2" s="30"/>
      <c r="BU2" s="30"/>
      <c r="BV2" s="30"/>
      <c r="BW2" s="30"/>
    </row>
    <row r="3" spans="1:75" ht="12.75">
      <c r="A3" s="4" t="s">
        <v>23</v>
      </c>
      <c r="I3" t="s">
        <v>24</v>
      </c>
      <c r="N3" s="11" t="s">
        <v>25</v>
      </c>
      <c r="R3" s="29" t="s">
        <v>128</v>
      </c>
      <c r="S3" s="43" t="s">
        <v>131</v>
      </c>
      <c r="T3" s="29" t="s">
        <v>8</v>
      </c>
      <c r="U3" s="43" t="s">
        <v>127</v>
      </c>
      <c r="V3" s="29" t="s">
        <v>10</v>
      </c>
      <c r="W3" s="43" t="s">
        <v>129</v>
      </c>
      <c r="X3" s="29" t="s">
        <v>12</v>
      </c>
      <c r="Y3" s="43" t="s">
        <v>130</v>
      </c>
      <c r="Z3" s="29" t="s">
        <v>36</v>
      </c>
      <c r="AA3" s="24"/>
      <c r="AB3" s="29"/>
      <c r="AC3" s="30"/>
      <c r="AD3" s="29"/>
      <c r="AG3" s="12"/>
      <c r="AH3" s="12"/>
      <c r="AI3" s="12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39"/>
      <c r="BL3" s="20"/>
      <c r="BN3" t="s">
        <v>150</v>
      </c>
      <c r="BO3" t="s">
        <v>151</v>
      </c>
      <c r="BP3" t="s">
        <v>152</v>
      </c>
      <c r="BQ3" s="13" t="s">
        <v>143</v>
      </c>
      <c r="BR3" s="13" t="s">
        <v>149</v>
      </c>
      <c r="BS3" s="13" t="s">
        <v>148</v>
      </c>
      <c r="BT3" s="49" t="s">
        <v>144</v>
      </c>
      <c r="BU3" s="12" t="s">
        <v>147</v>
      </c>
      <c r="BV3" s="49" t="s">
        <v>145</v>
      </c>
      <c r="BW3" s="12" t="s">
        <v>146</v>
      </c>
    </row>
    <row r="4" spans="1:75" ht="12.75">
      <c r="A4" s="5" t="s">
        <v>38</v>
      </c>
      <c r="B4" s="5"/>
      <c r="C4" s="13">
        <v>0.05</v>
      </c>
      <c r="D4" s="6" t="s">
        <v>39</v>
      </c>
      <c r="E4" s="5"/>
      <c r="F4" s="41" t="s">
        <v>40</v>
      </c>
      <c r="G4" s="15" t="s">
        <v>126</v>
      </c>
      <c r="H4" s="15"/>
      <c r="I4" t="s">
        <v>41</v>
      </c>
      <c r="J4">
        <f>2/(EXP(E5*2)+1)</f>
        <v>0.9003320053750443</v>
      </c>
      <c r="L4">
        <f>J5</f>
        <v>1.0996679946249557</v>
      </c>
      <c r="N4" s="11" t="s">
        <v>42</v>
      </c>
      <c r="P4">
        <f>($B$13+$B$16*LN(J5)-LN(J9)-LN($J$8))/(LN($J$9)-LN($J$8))</f>
        <v>0.40895013292987914</v>
      </c>
      <c r="R4" s="36"/>
      <c r="S4" s="44"/>
      <c r="T4" s="36"/>
      <c r="U4" s="44"/>
      <c r="V4" s="36"/>
      <c r="W4" s="44"/>
      <c r="X4" s="36"/>
      <c r="Y4" s="44"/>
      <c r="Z4" s="36"/>
      <c r="AA4" s="25"/>
      <c r="AB4" s="20"/>
      <c r="AC4" s="20"/>
      <c r="AD4" s="20"/>
      <c r="AG4" s="12"/>
      <c r="AH4" s="12"/>
      <c r="AI4" s="12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V4" s="35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13"/>
      <c r="BQ4" s="13"/>
      <c r="BR4" s="13"/>
      <c r="BS4" s="13"/>
      <c r="BT4" s="12"/>
      <c r="BU4" s="12"/>
      <c r="BV4" s="12"/>
      <c r="BW4" s="12"/>
    </row>
    <row r="5" spans="1:75" ht="12.75">
      <c r="A5" s="5" t="s">
        <v>8</v>
      </c>
      <c r="B5" s="6" t="s">
        <v>118</v>
      </c>
      <c r="C5" s="13">
        <v>0.05</v>
      </c>
      <c r="D5" s="5" t="s">
        <v>122</v>
      </c>
      <c r="E5" s="5">
        <v>0.1</v>
      </c>
      <c r="F5" s="5">
        <v>1</v>
      </c>
      <c r="G5" s="5">
        <f>E5</f>
        <v>0.1</v>
      </c>
      <c r="H5" s="5"/>
      <c r="I5" t="s">
        <v>45</v>
      </c>
      <c r="J5">
        <f>2-J4</f>
        <v>1.0996679946249557</v>
      </c>
      <c r="L5">
        <f>J4</f>
        <v>0.9003320053750443</v>
      </c>
      <c r="N5" s="11" t="s">
        <v>46</v>
      </c>
      <c r="P5">
        <f>($B$13+$B$16*LN(J4)-LN(J8)-LN($J$8))/(LN($J$9)-LN($J$8))</f>
        <v>0.6089501329298791</v>
      </c>
      <c r="R5" s="36"/>
      <c r="S5" s="44"/>
      <c r="T5" s="36"/>
      <c r="U5" s="44"/>
      <c r="V5" s="36"/>
      <c r="W5" s="44"/>
      <c r="X5" s="36"/>
      <c r="Y5" s="44"/>
      <c r="Z5" s="36"/>
      <c r="AA5" s="25"/>
      <c r="AB5" s="20"/>
      <c r="AC5" s="20"/>
      <c r="AD5" s="13"/>
      <c r="AG5" s="12"/>
      <c r="AH5" s="12"/>
      <c r="AI5" s="12"/>
      <c r="AJ5" s="20"/>
      <c r="AK5" s="20"/>
      <c r="AL5" s="20"/>
      <c r="AM5" s="20"/>
      <c r="AN5" s="20"/>
      <c r="AO5" s="20"/>
      <c r="AP5" s="20"/>
      <c r="AQ5" s="20"/>
      <c r="AR5" s="20"/>
      <c r="AS5" s="35"/>
      <c r="AT5" s="34"/>
      <c r="AU5" s="34"/>
      <c r="AV5" s="35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40"/>
      <c r="BK5" s="13"/>
      <c r="BL5" s="13"/>
      <c r="BQ5" s="13"/>
      <c r="BR5" s="13"/>
      <c r="BS5" s="13"/>
      <c r="BT5" s="12"/>
      <c r="BU5" s="12"/>
      <c r="BV5" s="12"/>
      <c r="BW5" s="13">
        <f>(1-AT11)/(AS11+AT11)</f>
        <v>0.0653307154005291</v>
      </c>
    </row>
    <row r="6" spans="1:75" ht="12.75">
      <c r="A6" s="5" t="s">
        <v>10</v>
      </c>
      <c r="B6" s="5" t="s">
        <v>119</v>
      </c>
      <c r="C6" s="13">
        <v>0.05</v>
      </c>
      <c r="D6" s="5" t="s">
        <v>123</v>
      </c>
      <c r="E6" s="5">
        <v>0.1</v>
      </c>
      <c r="F6" s="5">
        <v>2</v>
      </c>
      <c r="G6" s="5">
        <f>((G5^2*(1-$D$10)^2*F5+E6^2)/F6)^0.5</f>
        <v>0.09055385138137417</v>
      </c>
      <c r="H6" s="5"/>
      <c r="R6" s="47"/>
      <c r="S6" s="45"/>
      <c r="T6" s="47"/>
      <c r="U6" s="45"/>
      <c r="V6" s="47"/>
      <c r="W6" s="45"/>
      <c r="X6" s="47"/>
      <c r="Y6" s="45"/>
      <c r="Z6" s="47"/>
      <c r="AA6" s="26"/>
      <c r="AB6" s="20"/>
      <c r="AC6" s="20"/>
      <c r="AD6" s="31"/>
      <c r="AG6" s="12"/>
      <c r="AH6" s="12"/>
      <c r="AI6" s="12"/>
      <c r="AJ6" s="20"/>
      <c r="AK6" s="20"/>
      <c r="AL6" s="20"/>
      <c r="AM6" s="20"/>
      <c r="AN6" s="20"/>
      <c r="AO6" s="20"/>
      <c r="AP6" s="20"/>
      <c r="AQ6" s="20"/>
      <c r="AR6" s="20"/>
      <c r="AS6" s="35"/>
      <c r="AT6" s="34"/>
      <c r="AU6" s="34"/>
      <c r="AV6" s="35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40"/>
      <c r="BK6" s="13"/>
      <c r="BL6" s="13"/>
      <c r="BQ6" s="13"/>
      <c r="BR6" s="13"/>
      <c r="BS6" s="13"/>
      <c r="BT6" s="12"/>
      <c r="BU6" s="13">
        <f>(1-AP12)/(AO12+AP12)</f>
        <v>0.06130325554401432</v>
      </c>
      <c r="BV6" s="13">
        <f>(1-AR12)/(AP12+AQ12+AR12)</f>
        <v>0.059115204033089015</v>
      </c>
      <c r="BW6" s="13"/>
    </row>
    <row r="7" spans="1:75" ht="12.75">
      <c r="A7" s="5" t="s">
        <v>12</v>
      </c>
      <c r="B7" s="5" t="s">
        <v>120</v>
      </c>
      <c r="C7" s="13">
        <v>0.05</v>
      </c>
      <c r="D7" s="5" t="s">
        <v>124</v>
      </c>
      <c r="E7" s="5">
        <v>0.1</v>
      </c>
      <c r="F7" s="5">
        <v>3</v>
      </c>
      <c r="G7" s="5">
        <f>((G6^2*(1-$D$10)^2*F6+E7^2)/F7)^0.5</f>
        <v>0.0826559132790873</v>
      </c>
      <c r="H7" s="5"/>
      <c r="I7" s="11" t="s">
        <v>47</v>
      </c>
      <c r="N7" s="11" t="s">
        <v>48</v>
      </c>
      <c r="R7" s="31"/>
      <c r="S7" s="46"/>
      <c r="T7" s="31"/>
      <c r="U7" s="46"/>
      <c r="V7" s="31"/>
      <c r="W7" s="46"/>
      <c r="X7" s="31"/>
      <c r="Y7" s="46"/>
      <c r="Z7" s="31">
        <f>C8*L19</f>
        <v>0.07311666017372023</v>
      </c>
      <c r="AA7" s="27"/>
      <c r="AB7" s="32"/>
      <c r="AC7" s="32"/>
      <c r="AD7" s="32"/>
      <c r="AE7" s="32"/>
      <c r="AF7" s="32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35"/>
      <c r="AT7" s="34"/>
      <c r="AU7" s="36"/>
      <c r="AV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40"/>
      <c r="BK7" s="13"/>
      <c r="BL7" s="13"/>
      <c r="BQ7" s="13"/>
      <c r="BR7" s="13">
        <f>(1-AM13)/(AM13+AL13)</f>
        <v>0.055240890236979256</v>
      </c>
      <c r="BS7" s="13">
        <f>(1-AN13)/(AL13+AM13+AN13)</f>
        <v>0.05480146656319101</v>
      </c>
      <c r="BT7" s="13">
        <f>(1-AO13)/(AL13+AM13+AN13+AO13)</f>
        <v>0.05431960000906124</v>
      </c>
      <c r="BU7" s="13"/>
      <c r="BV7" s="13"/>
      <c r="BW7" s="13">
        <f>(1-AT13)/(AS13+AT13)</f>
        <v>0.054548768308798214</v>
      </c>
    </row>
    <row r="8" spans="1:75" ht="12.75">
      <c r="A8" s="5" t="s">
        <v>14</v>
      </c>
      <c r="B8" s="5" t="s">
        <v>121</v>
      </c>
      <c r="C8" s="13">
        <v>0.05</v>
      </c>
      <c r="D8" s="5" t="s">
        <v>125</v>
      </c>
      <c r="E8" s="5">
        <v>0.1</v>
      </c>
      <c r="F8" s="5">
        <v>4</v>
      </c>
      <c r="G8" s="5">
        <f>((G7^2*(1-$D$10)^2*F7+E8^2)/F8)^0.5</f>
        <v>0.07602210204933826</v>
      </c>
      <c r="H8" s="5"/>
      <c r="I8" t="s">
        <v>51</v>
      </c>
      <c r="J8">
        <f>2/(EXP(E6*2)+1)</f>
        <v>0.9003320053750443</v>
      </c>
      <c r="K8" t="s">
        <v>52</v>
      </c>
      <c r="L8">
        <f>J9^2</f>
        <v>1.2092696984024716</v>
      </c>
      <c r="N8" s="11" t="s">
        <v>53</v>
      </c>
      <c r="P8">
        <f>($B$14+$B$16*LN(L8)-2*LN(J14)-LN($J$13))/(LN($J$14)-LN($J$13))</f>
        <v>0.31650182175152564</v>
      </c>
      <c r="R8" s="31"/>
      <c r="S8" s="46"/>
      <c r="T8" s="31"/>
      <c r="U8" s="46"/>
      <c r="V8" s="31"/>
      <c r="W8" s="46"/>
      <c r="X8" s="31">
        <f>C7*L13</f>
        <v>0.06648975921014855</v>
      </c>
      <c r="Y8" s="46">
        <f>EXP($B$15+LN($C$8)+($E$8^2)/2+($B$16*LN(L13)))</f>
        <v>0.062394943114278345</v>
      </c>
      <c r="Z8" s="31"/>
      <c r="AA8" s="27"/>
      <c r="AB8" s="32"/>
      <c r="AC8" s="32"/>
      <c r="AD8" s="32"/>
      <c r="AE8" s="32">
        <f>P14</f>
        <v>0.18213991057317236</v>
      </c>
      <c r="AF8" s="32"/>
      <c r="AG8" s="13"/>
      <c r="AH8" s="13"/>
      <c r="AI8" s="12"/>
      <c r="AJ8" s="20"/>
      <c r="AK8" s="20"/>
      <c r="AL8" s="20"/>
      <c r="AM8" s="20"/>
      <c r="AN8" s="20"/>
      <c r="AO8" s="20"/>
      <c r="AP8" s="20"/>
      <c r="AQ8" s="20"/>
      <c r="AR8" s="20"/>
      <c r="AS8" s="35"/>
      <c r="AT8" s="34"/>
      <c r="AU8" s="34"/>
      <c r="AV8" s="35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40"/>
      <c r="BK8" s="13"/>
      <c r="BL8" s="13"/>
      <c r="BN8" s="13">
        <f>(1-AH14)/(AG14+AH14)</f>
        <v>0.050682596038342534</v>
      </c>
      <c r="BO8" s="13">
        <f>(1-AI14)/(AG14+AH14+AI14)</f>
        <v>0.05066451902399259</v>
      </c>
      <c r="BP8" s="13">
        <f>(1-AJ14)/(AG14+AH14+AI14+AJ14)</f>
        <v>0.05064413941462117</v>
      </c>
      <c r="BQ8" s="13">
        <f>(1-AK14)/(AG14+AH14+AI14+AJ14+AK14)</f>
        <v>0.05054903299412559</v>
      </c>
      <c r="BR8" s="13"/>
      <c r="BS8" s="13"/>
      <c r="BT8" s="13"/>
      <c r="BU8" s="13">
        <f>(1-AP14)/(AO14+AP14)</f>
        <v>0.05019086057768262</v>
      </c>
      <c r="BV8" s="13">
        <f>(1-AR14)/(AP14+AQ14+AR14)</f>
        <v>0.05017319851571415</v>
      </c>
      <c r="BW8" s="13"/>
    </row>
    <row r="9" spans="1:75" ht="12.75">
      <c r="A9" s="5"/>
      <c r="B9" s="5"/>
      <c r="C9" s="5"/>
      <c r="D9" s="5"/>
      <c r="E9" s="5"/>
      <c r="F9" s="5"/>
      <c r="I9" t="s">
        <v>55</v>
      </c>
      <c r="J9">
        <f>2-J8</f>
        <v>1.0996679946249557</v>
      </c>
      <c r="K9" t="s">
        <v>56</v>
      </c>
      <c r="L9">
        <f>J8*J9</f>
        <v>0.9900662908474398</v>
      </c>
      <c r="N9" s="11" t="s">
        <v>57</v>
      </c>
      <c r="P9">
        <f>($B$14+$B$16*LN(L9)-LN(J14)-LN(J13)-LN($J$13))/(LN($J$14)-LN($J$13))</f>
        <v>0.5165018217515256</v>
      </c>
      <c r="R9" s="31"/>
      <c r="S9" s="46"/>
      <c r="T9" s="31"/>
      <c r="U9" s="46"/>
      <c r="V9" s="31">
        <f>C6*L8</f>
        <v>0.06046348492012358</v>
      </c>
      <c r="W9" s="46">
        <f>EXP($B$14+LN($C$7)+($E$7^2)/2+($B$16*LN(L8)))</f>
        <v>0.05828520591787166</v>
      </c>
      <c r="X9" s="31"/>
      <c r="Y9" s="46"/>
      <c r="Z9" s="31">
        <f>C8*L20</f>
        <v>0.05986285824657687</v>
      </c>
      <c r="AA9" s="27"/>
      <c r="AB9" s="32"/>
      <c r="AC9" s="32"/>
      <c r="AD9" s="32">
        <f>P8</f>
        <v>0.31650182175152564</v>
      </c>
      <c r="AE9" s="32"/>
      <c r="AF9" s="32"/>
      <c r="AG9" s="13"/>
      <c r="AH9" s="13"/>
      <c r="AI9" s="12"/>
      <c r="AJ9" s="30"/>
      <c r="AK9" s="30"/>
      <c r="AL9" s="30"/>
      <c r="AM9" s="30"/>
      <c r="AN9" s="30"/>
      <c r="AO9" s="30"/>
      <c r="AQ9" s="35"/>
      <c r="AR9" s="34"/>
      <c r="AS9" s="20"/>
      <c r="AT9" s="36"/>
      <c r="AU9" s="34"/>
      <c r="AV9" s="35"/>
      <c r="AX9" s="20"/>
      <c r="AY9" s="20"/>
      <c r="AZ9" s="20"/>
      <c r="BA9" s="20"/>
      <c r="BB9" s="20"/>
      <c r="BC9" s="20"/>
      <c r="BD9" s="20"/>
      <c r="BE9" s="20"/>
      <c r="BF9" s="20"/>
      <c r="BG9" s="40"/>
      <c r="BH9" s="40"/>
      <c r="BI9" s="40"/>
      <c r="BJ9" s="20"/>
      <c r="BK9" s="30"/>
      <c r="BL9" s="13"/>
      <c r="BQ9" s="13"/>
      <c r="BR9" s="13">
        <f>(1-AM15)/(AM15+AL15)</f>
        <v>0.04611694048162937</v>
      </c>
      <c r="BS9" s="13">
        <f>(1-AN15)/(AL15+AM15+AN15)</f>
        <v>0.046518477181322425</v>
      </c>
      <c r="BT9" s="13">
        <f>(1-AO15)/(AL15+AM15+AN15+AO15)</f>
        <v>0.0467692285070918</v>
      </c>
      <c r="BU9" s="13"/>
      <c r="BV9" s="12"/>
      <c r="BW9" s="13">
        <f>(1-AT15)/(AS15+AT15)</f>
        <v>0.04554084525186208</v>
      </c>
    </row>
    <row r="10" spans="3:75" ht="12.75">
      <c r="C10" t="s">
        <v>6</v>
      </c>
      <c r="D10">
        <v>0.2</v>
      </c>
      <c r="K10" t="s">
        <v>58</v>
      </c>
      <c r="L10">
        <f>J8^2</f>
        <v>0.8105977199026488</v>
      </c>
      <c r="N10" s="11" t="s">
        <v>59</v>
      </c>
      <c r="P10">
        <f>($B$14+$B$16*LN(L10)-2*LN(J13)-LN($J$13))/(LN($J$14)-LN($J$13))</f>
        <v>0.7165018217515255</v>
      </c>
      <c r="R10" s="31"/>
      <c r="S10" s="46"/>
      <c r="T10" s="31">
        <f>C5*L4</f>
        <v>0.05498339973124779</v>
      </c>
      <c r="U10" s="46">
        <f>EXP($B$13+LN($C$6)+($E$6^2)/2+($B$16*LN(L4)))</f>
        <v>0.05399166346511845</v>
      </c>
      <c r="V10" s="31"/>
      <c r="W10" s="46"/>
      <c r="X10" s="31">
        <f>C7*L14</f>
        <v>0.05443721063009861</v>
      </c>
      <c r="Y10" s="46">
        <f>EXP($B$15+LN($C$8)+($E$8^2)/2+($B$16*LN(L14)))</f>
        <v>0.05316946323773236</v>
      </c>
      <c r="Z10" s="31"/>
      <c r="AA10" s="27"/>
      <c r="AB10" s="32"/>
      <c r="AC10" s="32">
        <f>P4</f>
        <v>0.40895013292987914</v>
      </c>
      <c r="AD10" s="32"/>
      <c r="AE10" s="32">
        <f>P15</f>
        <v>0.3821399105731719</v>
      </c>
      <c r="AF10" s="32"/>
      <c r="AG10" s="13"/>
      <c r="AH10" s="13"/>
      <c r="AI10" s="12"/>
      <c r="AJ10" s="30"/>
      <c r="AK10" s="30"/>
      <c r="AL10" s="30"/>
      <c r="AM10" s="30"/>
      <c r="AN10" s="30"/>
      <c r="AO10" s="30"/>
      <c r="AP10" s="35"/>
      <c r="AQ10" s="35"/>
      <c r="AR10" s="34"/>
      <c r="AS10" s="35"/>
      <c r="AT10" s="34"/>
      <c r="AU10" s="34">
        <f>1/(1+Z7*365/360)</f>
        <v>0.9309841270388942</v>
      </c>
      <c r="AV10" s="35"/>
      <c r="AX10" s="20"/>
      <c r="AY10" s="20"/>
      <c r="AZ10" s="20"/>
      <c r="BA10" s="20"/>
      <c r="BB10" s="20"/>
      <c r="BC10" s="20"/>
      <c r="BD10" s="20"/>
      <c r="BE10" s="20"/>
      <c r="BF10" s="20"/>
      <c r="BG10" s="40"/>
      <c r="BH10" s="40"/>
      <c r="BI10" s="40"/>
      <c r="BJ10" s="40"/>
      <c r="BK10" s="13"/>
      <c r="BL10" s="13">
        <f>(1/AU10)^(1/1)-1</f>
        <v>0.07413216934279965</v>
      </c>
      <c r="BQ10" s="13"/>
      <c r="BR10" s="13"/>
      <c r="BS10" s="13"/>
      <c r="BT10" s="12"/>
      <c r="BU10" s="13">
        <f>(1-AP16)/(AO16+AP16)</f>
        <v>0.041092801078398175</v>
      </c>
      <c r="BV10" s="13">
        <f>(1-AR16)/(AP16+AQ16+AR16)</f>
        <v>0.04259151709750773</v>
      </c>
      <c r="BW10" s="13"/>
    </row>
    <row r="11" spans="18:75" ht="12.75">
      <c r="R11" s="31">
        <f>C4</f>
        <v>0.05</v>
      </c>
      <c r="S11" s="46">
        <f>C5</f>
        <v>0.05</v>
      </c>
      <c r="T11" s="31"/>
      <c r="U11" s="46"/>
      <c r="V11" s="31">
        <f>C6*L9</f>
        <v>0.049503314542371994</v>
      </c>
      <c r="W11" s="46">
        <f>EXP($B$14+LN($C$7)+($E$7^2)/2+($B$16*LN(L9)))</f>
        <v>0.049667376211531014</v>
      </c>
      <c r="X11" s="31"/>
      <c r="Y11" s="46"/>
      <c r="Z11" s="31">
        <f>C8*L21</f>
        <v>0.04901156301362036</v>
      </c>
      <c r="AA11" s="27"/>
      <c r="AB11" s="32">
        <f>0.5</f>
        <v>0.5</v>
      </c>
      <c r="AC11" s="32"/>
      <c r="AD11" s="32">
        <f>P9</f>
        <v>0.5165018217515256</v>
      </c>
      <c r="AE11" s="32"/>
      <c r="AF11" s="32"/>
      <c r="AG11" s="13"/>
      <c r="AH11" s="13"/>
      <c r="AI11" s="12"/>
      <c r="AJ11" s="30"/>
      <c r="AK11" s="13"/>
      <c r="AM11" s="35"/>
      <c r="AN11" s="35"/>
      <c r="AO11" s="34"/>
      <c r="AP11" s="35"/>
      <c r="AQ11" s="35"/>
      <c r="AR11" s="34"/>
      <c r="AS11" s="35">
        <f>1/(1+X8*365/360)</f>
        <v>0.9368443014250285</v>
      </c>
      <c r="AT11" s="34">
        <f>AS11*(AE8*AU10+(1-AE8)*AU12)</f>
        <v>0.8812242789940005</v>
      </c>
      <c r="AU11" s="34"/>
      <c r="AV11" s="35"/>
      <c r="AX11" s="20"/>
      <c r="AY11" s="20"/>
      <c r="AZ11" s="20"/>
      <c r="BA11" s="20"/>
      <c r="BB11" s="20"/>
      <c r="BC11" s="40"/>
      <c r="BD11" s="40"/>
      <c r="BE11" s="40"/>
      <c r="BF11" s="40"/>
      <c r="BG11" s="40"/>
      <c r="BH11" s="40"/>
      <c r="BI11" s="40"/>
      <c r="BJ11" s="40">
        <f>(1/AS11)^(1/1)-1</f>
        <v>0.06741322808806727</v>
      </c>
      <c r="BK11" s="13">
        <f>(1/AT11)^(1/2)-1</f>
        <v>0.06526282858632326</v>
      </c>
      <c r="BL11" s="13"/>
      <c r="BQ11" s="13"/>
      <c r="BR11" s="13"/>
      <c r="BS11" s="13"/>
      <c r="BW11" s="13">
        <f>(1-AT17)/(AS17+AT17)</f>
        <v>0.03801321062416968</v>
      </c>
    </row>
    <row r="12" spans="1:75" ht="12.75">
      <c r="A12" s="4" t="s">
        <v>62</v>
      </c>
      <c r="I12" s="11" t="s">
        <v>63</v>
      </c>
      <c r="R12" s="27"/>
      <c r="S12" s="46"/>
      <c r="T12" s="31">
        <f>C5*L5</f>
        <v>0.04501660026875222</v>
      </c>
      <c r="U12" s="46">
        <f>EXP($B$13+LN($C$6)+($E$6^2)/2+($B$16*LN(L5)))</f>
        <v>0.046008660677754616</v>
      </c>
      <c r="V12" s="31"/>
      <c r="W12" s="46"/>
      <c r="X12" s="31">
        <f>C7*L15</f>
        <v>0.044569418454645376</v>
      </c>
      <c r="Y12" s="46">
        <f>EXP($B$15+LN($C$8)+($E$8^2)/2+($B$16*LN(L15)))</f>
        <v>0.04530802786070095</v>
      </c>
      <c r="Z12" s="31"/>
      <c r="AA12" s="27"/>
      <c r="AB12" s="32"/>
      <c r="AC12" s="32">
        <f>P5</f>
        <v>0.6089501329298791</v>
      </c>
      <c r="AD12" s="32"/>
      <c r="AE12" s="32">
        <f>P16</f>
        <v>0.5821399105731723</v>
      </c>
      <c r="AF12" s="32"/>
      <c r="AG12" s="13"/>
      <c r="AH12" s="13"/>
      <c r="AI12" s="20"/>
      <c r="AJ12" s="30"/>
      <c r="AK12" s="13"/>
      <c r="AL12" s="35"/>
      <c r="AM12" s="35"/>
      <c r="AN12" s="35"/>
      <c r="AO12" s="34"/>
      <c r="AP12" s="35">
        <f>1/(1+V9*365/360)</f>
        <v>0.942237757941682</v>
      </c>
      <c r="AQ12" s="35">
        <f>AP12*(AD9*AS11+(1-AD9)*AS13)</f>
        <v>0.8897172635959621</v>
      </c>
      <c r="AR12" s="34">
        <f>AP12*(AD9*AT11+(1-AD9)*AT13)</f>
        <v>0.8419325883782719</v>
      </c>
      <c r="AS12" s="35"/>
      <c r="AT12" s="34"/>
      <c r="AU12" s="34">
        <f>1/(1+Z9*365/360)</f>
        <v>0.9427787180653763</v>
      </c>
      <c r="AV12" s="20"/>
      <c r="AX12" s="20"/>
      <c r="AY12" s="20"/>
      <c r="AZ12" s="20"/>
      <c r="BA12" s="20"/>
      <c r="BB12" s="20"/>
      <c r="BC12" s="40"/>
      <c r="BD12" s="40"/>
      <c r="BE12" s="40"/>
      <c r="BF12" s="40"/>
      <c r="BG12" s="40">
        <f>(1/AP12)^(1/1)-1</f>
        <v>0.06130325554401428</v>
      </c>
      <c r="BH12" s="40">
        <f>(1/AQ12)^(1/2)-1</f>
        <v>0.06016629091344616</v>
      </c>
      <c r="BI12" s="40">
        <f>(1/AR12)^(1/3)-1</f>
        <v>0.05902828605438315</v>
      </c>
      <c r="BJ12" s="40"/>
      <c r="BK12" s="13"/>
      <c r="BL12" s="13">
        <f>(1/AU12)^(1/1)-1</f>
        <v>0.06069428683333489</v>
      </c>
      <c r="BQ12" s="13"/>
      <c r="BR12" s="13"/>
      <c r="BS12" s="13"/>
      <c r="BW12" s="13"/>
    </row>
    <row r="13" spans="1:75" ht="12.75">
      <c r="A13" s="11" t="s">
        <v>64</v>
      </c>
      <c r="B13" s="20">
        <f>-0.5*(2*G6^2)+0.5*B16*E5^2</f>
        <v>-0.0042</v>
      </c>
      <c r="I13" s="11" t="s">
        <v>65</v>
      </c>
      <c r="J13">
        <f>2/(EXP(E7*2)+1)</f>
        <v>0.9003320053750443</v>
      </c>
      <c r="K13" s="11" t="s">
        <v>133</v>
      </c>
      <c r="L13">
        <f>J14^3</f>
        <v>1.329795184202971</v>
      </c>
      <c r="N13" s="11" t="s">
        <v>66</v>
      </c>
      <c r="R13" s="27"/>
      <c r="S13" s="27"/>
      <c r="T13" s="31"/>
      <c r="U13" s="46"/>
      <c r="V13" s="31">
        <f>C6*L10</f>
        <v>0.04052988599513244</v>
      </c>
      <c r="W13" s="46">
        <f>EXP($B$14+LN($C$7)+($E$7^2)/2+($B$16*LN(L10)))</f>
        <v>0.0423237461529043</v>
      </c>
      <c r="X13" s="31"/>
      <c r="Y13" s="46"/>
      <c r="Z13" s="31">
        <f>C8*L22</f>
        <v>0.040127273895670376</v>
      </c>
      <c r="AA13" s="27"/>
      <c r="AB13" s="32"/>
      <c r="AC13" s="32"/>
      <c r="AD13" s="32">
        <f>P10</f>
        <v>0.7165018217515255</v>
      </c>
      <c r="AE13" s="32"/>
      <c r="AF13" s="32"/>
      <c r="AG13" s="13"/>
      <c r="AH13" s="13"/>
      <c r="AI13" s="12"/>
      <c r="AJ13" s="30"/>
      <c r="AK13" s="13"/>
      <c r="AL13" s="35">
        <f>1/(1+T10*365/360)</f>
        <v>0.9471965774044001</v>
      </c>
      <c r="AM13" s="35">
        <f>AL13*(AC10*AP12+(1-AC10)*AP14)</f>
        <v>0.8980660497547039</v>
      </c>
      <c r="AN13" s="35">
        <f>AL13*(AC10*AQ12+(1-AC10)*AQ14)</f>
        <v>0.8521763861081857</v>
      </c>
      <c r="AO13" s="34">
        <f>AL13*(AC10*AR12+(1-AC10)*AR14)</f>
        <v>0.8095042449586908</v>
      </c>
      <c r="AP13" s="35"/>
      <c r="AQ13" s="35"/>
      <c r="AR13" s="34"/>
      <c r="AS13" s="35">
        <f>1/(1+X10*365/360)</f>
        <v>0.9476936748089941</v>
      </c>
      <c r="AT13" s="34">
        <f>AS13*(AE10*AU12+(1-AE10)*AU14)</f>
        <v>0.8992514199470796</v>
      </c>
      <c r="AU13" s="34"/>
      <c r="AV13" s="35"/>
      <c r="AX13" s="20"/>
      <c r="AY13" s="20"/>
      <c r="AZ13" s="20"/>
      <c r="BA13" s="20"/>
      <c r="BB13" s="20"/>
      <c r="BC13" s="40">
        <f>(1/AL13)^(1/1)-1</f>
        <v>0.05574705806084834</v>
      </c>
      <c r="BD13" s="40">
        <f>(1/AM13)^(1/2)-1</f>
        <v>0.05522691663679957</v>
      </c>
      <c r="BE13" s="40">
        <f>(1/AN13)^(1/3)-1</f>
        <v>0.05476773104649024</v>
      </c>
      <c r="BF13" s="40">
        <f>(1/AO13)^(1/4)-1</f>
        <v>0.05425390267555796</v>
      </c>
      <c r="BG13" s="40"/>
      <c r="BH13" s="40"/>
      <c r="BI13" s="40"/>
      <c r="BJ13" s="40">
        <f>(1/AS13)^(1/1)-1</f>
        <v>0.05519328299996107</v>
      </c>
      <c r="BK13" s="13">
        <f>(1/AT13)^(1/2)-1</f>
        <v>0.05453120074365003</v>
      </c>
      <c r="BL13" s="13"/>
      <c r="BQ13" s="13"/>
      <c r="BR13" s="13"/>
      <c r="BS13" s="13"/>
      <c r="BW13" s="13"/>
    </row>
    <row r="14" spans="1:75" ht="12.75">
      <c r="A14" s="11" t="s">
        <v>67</v>
      </c>
      <c r="B14" s="20">
        <f>-0.5*(3*G7^2)+0.5*(B16*2*G6^2)</f>
        <v>-0.003688000000000001</v>
      </c>
      <c r="I14" s="11" t="s">
        <v>68</v>
      </c>
      <c r="J14">
        <f>2-J13</f>
        <v>1.0996679946249557</v>
      </c>
      <c r="K14" s="11" t="s">
        <v>134</v>
      </c>
      <c r="L14">
        <f>J14^2*J13</f>
        <v>1.0887442126019722</v>
      </c>
      <c r="N14" s="11" t="s">
        <v>69</v>
      </c>
      <c r="P14">
        <f>($B$15+$B$16*LN(L13)-3*LN(J20)-LN($J$19))/(LN($J$20)-LN($J$19))</f>
        <v>0.18213991057317236</v>
      </c>
      <c r="R14" s="27"/>
      <c r="S14" s="27"/>
      <c r="T14" s="27"/>
      <c r="U14" s="46"/>
      <c r="V14" s="31"/>
      <c r="W14" s="27"/>
      <c r="X14" s="31">
        <f>C7*L16</f>
        <v>0.03649035353561952</v>
      </c>
      <c r="Y14" s="46">
        <f>EXP($B$15+LN($C$8)+($E$8^2)/2+($B$16*LN(L16)))</f>
        <v>0.038608954531804386</v>
      </c>
      <c r="Z14" s="31"/>
      <c r="AA14" s="27"/>
      <c r="AB14" s="32"/>
      <c r="AC14" s="32"/>
      <c r="AD14" s="32"/>
      <c r="AE14" s="32">
        <f>P17</f>
        <v>0.7821399105731718</v>
      </c>
      <c r="AF14" s="32"/>
      <c r="AG14" s="35">
        <f>1/(1+R11*365/360)</f>
        <v>0.9517514871116987</v>
      </c>
      <c r="AH14" s="35">
        <f>AG14*(AL13*AB11+(1-AB11)*AL15)</f>
        <v>0.9058518409256047</v>
      </c>
      <c r="AI14" s="35">
        <f>AG14*(AM13*AB11+(1-AB11)*AM15)</f>
        <v>0.862202353315536</v>
      </c>
      <c r="AJ14" s="35">
        <f>AG14*(AN13*AB11+(1-AB11)*AN15)</f>
        <v>0.8206944193048136</v>
      </c>
      <c r="AK14" s="34">
        <f>AG14*(AO13*AB11+(1-AB11)*AO15)</f>
        <v>0.78152577158266</v>
      </c>
      <c r="AL14" s="13"/>
      <c r="AM14" s="35"/>
      <c r="AN14" s="13"/>
      <c r="AO14" s="31"/>
      <c r="AP14" s="35">
        <f>1/(1+V11*365/360)</f>
        <v>0.9522078676726686</v>
      </c>
      <c r="AQ14" s="35">
        <f>AP14*(AD11*AS13+(1-AD11)*AS15)</f>
        <v>0.9065778527643178</v>
      </c>
      <c r="AR14" s="34">
        <f>AP14*(AD11*AT13+(1-AD11)*AT15)</f>
        <v>0.8634183164566568</v>
      </c>
      <c r="AS14" s="20"/>
      <c r="AT14" s="36"/>
      <c r="AU14" s="34">
        <f>1/(1+Z11*365/360)</f>
        <v>0.952660146070579</v>
      </c>
      <c r="AV14" s="34">
        <v>1</v>
      </c>
      <c r="AX14" s="40">
        <f>(1/AG14)^(1/1)-1</f>
        <v>0.050694444444444375</v>
      </c>
      <c r="AY14" s="40">
        <f>(1/AH14)^(1/2)-1</f>
        <v>0.05068229578786698</v>
      </c>
      <c r="AZ14" s="40">
        <f>(1/AI14)^(1/3)-1</f>
        <v>0.05066338763186318</v>
      </c>
      <c r="BA14" s="40">
        <f>(1/AJ14)^(1/4)-1</f>
        <v>0.050641690247758664</v>
      </c>
      <c r="BB14" s="40">
        <f>(1/AK14)^(1/5)-1</f>
        <v>0.05053696692110954</v>
      </c>
      <c r="BC14" s="20"/>
      <c r="BD14" s="20"/>
      <c r="BE14" s="20"/>
      <c r="BF14" s="20"/>
      <c r="BG14" s="40">
        <f>(1/AP14)^(1/1)-1</f>
        <v>0.05019086057768263</v>
      </c>
      <c r="BH14" s="40">
        <f>(1/AQ14)^(1/2)-1</f>
        <v>0.05026150425653175</v>
      </c>
      <c r="BI14" s="40">
        <f>(1/AR14)^(1/3)-1</f>
        <v>0.05016993498484057</v>
      </c>
      <c r="BJ14" s="20"/>
      <c r="BK14" s="5"/>
      <c r="BL14" s="13">
        <f>(1/AU14)^(1/1)-1</f>
        <v>0.04969227916658725</v>
      </c>
      <c r="BT14" s="12"/>
      <c r="BU14" s="12"/>
      <c r="BV14" s="13"/>
      <c r="BW14" s="12"/>
    </row>
    <row r="15" spans="1:75" ht="12.75">
      <c r="A15" s="11" t="s">
        <v>70</v>
      </c>
      <c r="B15" s="20">
        <f>-0.5*(4*G8^2)+0.5*(B19*3*G7^2)</f>
        <v>-0.011558720000000001</v>
      </c>
      <c r="K15" s="11" t="s">
        <v>135</v>
      </c>
      <c r="L15">
        <f>J14*J13^2</f>
        <v>0.8913883690929074</v>
      </c>
      <c r="N15" s="11" t="s">
        <v>71</v>
      </c>
      <c r="P15">
        <f>($B$15+$B$16*LN(L14)-2*LN(J20)-LN(J19)-LN($J$19))/(LN($J$20)-LN($J$19))</f>
        <v>0.3821399105731719</v>
      </c>
      <c r="R15" s="27"/>
      <c r="S15" s="27"/>
      <c r="T15" s="27"/>
      <c r="U15" s="46"/>
      <c r="V15" s="31"/>
      <c r="W15" s="27"/>
      <c r="X15" s="31"/>
      <c r="Y15" s="46"/>
      <c r="Z15" s="31">
        <f>C8*L23</f>
        <v>0.03285343317556866</v>
      </c>
      <c r="AA15" s="27"/>
      <c r="AB15" s="32"/>
      <c r="AC15" s="32"/>
      <c r="AD15" s="32"/>
      <c r="AE15" s="32"/>
      <c r="AF15" s="32"/>
      <c r="AG15" s="13"/>
      <c r="AH15" s="13"/>
      <c r="AI15" s="12"/>
      <c r="AJ15" s="30"/>
      <c r="AK15" s="13"/>
      <c r="AL15" s="35">
        <f>1/(1+T12*365/360)</f>
        <v>0.9563504160962107</v>
      </c>
      <c r="AM15" s="35">
        <f>AL15*(AC12*AP14+(1-AC12)*AP16)</f>
        <v>0.9137563954764155</v>
      </c>
      <c r="AN15" s="35">
        <f>AL15*(AC12*AQ14+(1-AC12)*AQ16)</f>
        <v>0.8724217477920684</v>
      </c>
      <c r="AO15" s="34">
        <f>AL15*(AC12*AR14+(1-AC12)*AR16)</f>
        <v>0.8327853278254266</v>
      </c>
      <c r="AP15" s="35"/>
      <c r="AQ15" s="35"/>
      <c r="AR15" s="34"/>
      <c r="AS15" s="35">
        <f>1/(1+X12*365/360)</f>
        <v>0.9567652716909546</v>
      </c>
      <c r="AT15" s="34">
        <f>AS15*(AE12*AU14+(1-AE12)*AU16)</f>
        <v>0.9147687583541233</v>
      </c>
      <c r="AU15" s="34"/>
      <c r="AV15" s="35"/>
      <c r="AX15" s="20"/>
      <c r="AY15" s="20"/>
      <c r="AZ15" s="20"/>
      <c r="BA15" s="20"/>
      <c r="BB15" s="20"/>
      <c r="BC15" s="40">
        <f>(1/AL15)^(1/1)-1</f>
        <v>0.04564183082804041</v>
      </c>
      <c r="BD15" s="40">
        <f>(1/AM15)^(1/2)-1</f>
        <v>0.04612790093346386</v>
      </c>
      <c r="BE15" s="40">
        <f>(1/AN15)^(1/3)-1</f>
        <v>0.046544835657709616</v>
      </c>
      <c r="BF15" s="40">
        <f>(1/AO15)^(1/4)-1</f>
        <v>0.04680727869423418</v>
      </c>
      <c r="BG15" s="40"/>
      <c r="BH15" s="40"/>
      <c r="BI15" s="40"/>
      <c r="BJ15" s="40">
        <f>(1/AS15)^(1/1)-1</f>
        <v>0.04518843815540441</v>
      </c>
      <c r="BK15" s="13">
        <f>(1/AT15)^(1/2)-1</f>
        <v>0.04554887250844275</v>
      </c>
      <c r="BL15" s="13"/>
      <c r="BQ15" s="13"/>
      <c r="BR15" s="13"/>
      <c r="BS15" s="13"/>
      <c r="BT15" s="12"/>
      <c r="BU15" s="12"/>
      <c r="BV15" s="13"/>
      <c r="BW15" s="13"/>
    </row>
    <row r="16" spans="1:75" ht="12.75">
      <c r="A16" s="11" t="s">
        <v>78</v>
      </c>
      <c r="B16">
        <f>1-D10</f>
        <v>0.8</v>
      </c>
      <c r="K16" s="11" t="s">
        <v>136</v>
      </c>
      <c r="L16">
        <f>J13^3</f>
        <v>0.7298070707123903</v>
      </c>
      <c r="N16" s="11" t="s">
        <v>72</v>
      </c>
      <c r="P16">
        <f>($B$15+$B$16*LN(L15)-LN(J20)-2*LN(J19)-LN($J$19))/(LN($J$20)-LN($J$19))</f>
        <v>0.5821399105731723</v>
      </c>
      <c r="R16" s="27"/>
      <c r="S16" s="27"/>
      <c r="T16" s="27"/>
      <c r="U16" s="27"/>
      <c r="V16" s="27"/>
      <c r="W16" s="27"/>
      <c r="X16" s="27"/>
      <c r="Y16" s="27"/>
      <c r="Z16" s="48"/>
      <c r="AA16" s="27"/>
      <c r="AB16" s="27"/>
      <c r="AC16" s="27"/>
      <c r="AD16" s="27"/>
      <c r="AE16" s="27"/>
      <c r="AF16" s="27"/>
      <c r="AG16" s="13"/>
      <c r="AH16" s="13"/>
      <c r="AI16" s="12"/>
      <c r="AJ16" s="30"/>
      <c r="AK16" s="13"/>
      <c r="AM16" s="35"/>
      <c r="AN16" s="35"/>
      <c r="AO16" s="34"/>
      <c r="AP16" s="35">
        <f>1/(1+V13*365/360)</f>
        <v>0.9605291660495271</v>
      </c>
      <c r="AQ16" s="35">
        <f>AP16*(AD13*AS15+(1-AD13)*AS17)</f>
        <v>0.9210589236661114</v>
      </c>
      <c r="AR16" s="34">
        <f>AP16*(AD13*AT15+(1-AD13)*AT17)</f>
        <v>0.8822825561320773</v>
      </c>
      <c r="AS16" s="35"/>
      <c r="AT16" s="34"/>
      <c r="AU16" s="34">
        <f>1/(1+Z13*365/360)</f>
        <v>0.9609059293700845</v>
      </c>
      <c r="AV16" s="35"/>
      <c r="AX16" s="20"/>
      <c r="AY16" s="20"/>
      <c r="AZ16" s="20"/>
      <c r="BA16" s="20"/>
      <c r="BB16" s="20"/>
      <c r="BC16" s="40"/>
      <c r="BD16" s="40"/>
      <c r="BE16" s="40"/>
      <c r="BF16" s="40"/>
      <c r="BG16" s="40">
        <f>(1/AP16)^(1/1)-1</f>
        <v>0.04109280107839819</v>
      </c>
      <c r="BH16" s="40">
        <f>(1/AQ16)^(1/2)-1</f>
        <v>0.041972585439125965</v>
      </c>
      <c r="BI16" s="40">
        <f>(1/AR16)^(1/3)-1</f>
        <v>0.04263132566462868</v>
      </c>
      <c r="BJ16" s="40"/>
      <c r="BK16" s="13"/>
      <c r="BL16" s="13">
        <f>(1/AU16)^(1/1)-1</f>
        <v>0.040684597144221346</v>
      </c>
      <c r="BQ16" s="13"/>
      <c r="BR16" s="13"/>
      <c r="BS16" s="13"/>
      <c r="BT16" s="13"/>
      <c r="BU16" s="13"/>
      <c r="BV16" s="12"/>
      <c r="BW16" s="13"/>
    </row>
    <row r="17" spans="14:75" ht="12.75">
      <c r="N17" s="11" t="s">
        <v>73</v>
      </c>
      <c r="P17">
        <f>($B$15+$B$16*LN(L16)-3*LN(J19)-LN($J$19))/(LN($J$20)-LN($J$19))</f>
        <v>0.7821399105731718</v>
      </c>
      <c r="Z17" s="48"/>
      <c r="AG17" s="20"/>
      <c r="AH17" s="20"/>
      <c r="AI17" s="20"/>
      <c r="AJ17" s="30"/>
      <c r="AK17" s="13"/>
      <c r="AL17" s="35"/>
      <c r="AM17" s="35"/>
      <c r="AN17" s="35"/>
      <c r="AO17" s="34"/>
      <c r="AP17" s="35"/>
      <c r="AQ17" s="35"/>
      <c r="AR17" s="34"/>
      <c r="AS17" s="35">
        <f>1/(1+X14*365/360)</f>
        <v>0.9643227915314315</v>
      </c>
      <c r="AT17" s="34">
        <f>AS17*(AE14*AU16+(1-AE14)*AU18)</f>
        <v>0.928064291240146</v>
      </c>
      <c r="AU17" s="36"/>
      <c r="AV17" s="20"/>
      <c r="AX17" s="20"/>
      <c r="AY17" s="20"/>
      <c r="AZ17" s="20"/>
      <c r="BA17" s="20"/>
      <c r="BB17" s="20"/>
      <c r="BC17" s="40"/>
      <c r="BD17" s="40"/>
      <c r="BE17" s="40"/>
      <c r="BF17" s="40"/>
      <c r="BG17" s="40"/>
      <c r="BH17" s="40"/>
      <c r="BI17" s="40"/>
      <c r="BJ17" s="40">
        <f>(1/AS17)^(1/1)-1</f>
        <v>0.03699716400139197</v>
      </c>
      <c r="BK17" s="13">
        <f>(1/AT17)^(1/2)-1</f>
        <v>0.038032541682744725</v>
      </c>
      <c r="BL17" s="13"/>
      <c r="BQ17" s="13"/>
      <c r="BR17" s="13"/>
      <c r="BS17" s="13"/>
      <c r="BT17" s="13"/>
      <c r="BU17" s="13"/>
      <c r="BV17" s="13"/>
      <c r="BW17" s="13"/>
    </row>
    <row r="18" spans="1:75" ht="12.75">
      <c r="A18" s="11"/>
      <c r="I18" s="11" t="s">
        <v>74</v>
      </c>
      <c r="L18" s="11"/>
      <c r="AG18" s="12"/>
      <c r="AH18" s="12"/>
      <c r="AI18" s="12"/>
      <c r="AJ18" s="30"/>
      <c r="AK18" s="30"/>
      <c r="AL18" s="30"/>
      <c r="AM18" s="30"/>
      <c r="AN18" s="30"/>
      <c r="AO18" s="30"/>
      <c r="AP18" s="35"/>
      <c r="AQ18" s="35"/>
      <c r="AR18" s="34"/>
      <c r="AS18" s="35"/>
      <c r="AT18" s="34"/>
      <c r="AU18" s="34">
        <f>1/(1+Z15*365/360)</f>
        <v>0.9677640402835596</v>
      </c>
      <c r="AV18" s="35"/>
      <c r="AX18" s="20"/>
      <c r="AY18" s="20"/>
      <c r="AZ18" s="20"/>
      <c r="BA18" s="20"/>
      <c r="BB18" s="20"/>
      <c r="BC18" s="20"/>
      <c r="BD18" s="20"/>
      <c r="BE18" s="20"/>
      <c r="BF18" s="20"/>
      <c r="BG18" s="40"/>
      <c r="BH18" s="40"/>
      <c r="BI18" s="40"/>
      <c r="BJ18" s="40"/>
      <c r="BK18" s="13"/>
      <c r="BL18" s="13">
        <f>(1/AU18)^(1/1)-1</f>
        <v>0.03330973085856259</v>
      </c>
      <c r="BQ18" s="13"/>
      <c r="BR18" s="13"/>
      <c r="BS18" s="13"/>
      <c r="BT18" s="12"/>
      <c r="BU18" s="12"/>
      <c r="BV18" s="13"/>
      <c r="BW18" s="13"/>
    </row>
    <row r="19" spans="1:75" ht="12.75">
      <c r="A19" s="11"/>
      <c r="I19" s="11" t="s">
        <v>75</v>
      </c>
      <c r="J19">
        <f>2/(EXP(E8*2)+1)</f>
        <v>0.9003320053750443</v>
      </c>
      <c r="K19" s="11" t="s">
        <v>137</v>
      </c>
      <c r="L19">
        <f>J20^4</f>
        <v>1.4623332034744045</v>
      </c>
      <c r="AG19" s="12"/>
      <c r="AH19" s="12"/>
      <c r="AI19" s="12"/>
      <c r="AJ19" s="30"/>
      <c r="AK19" s="30"/>
      <c r="AL19" s="30"/>
      <c r="AM19" s="30"/>
      <c r="AN19" s="30"/>
      <c r="AO19" s="30"/>
      <c r="AP19" s="35"/>
      <c r="AQ19" s="35"/>
      <c r="AR19" s="34"/>
      <c r="AS19" s="20"/>
      <c r="AT19" s="36"/>
      <c r="AU19" s="34"/>
      <c r="AV19" s="35"/>
      <c r="AX19" s="20"/>
      <c r="AY19" s="20"/>
      <c r="AZ19" s="20"/>
      <c r="BA19" s="20"/>
      <c r="BB19" s="20"/>
      <c r="BC19" s="20"/>
      <c r="BD19" s="20"/>
      <c r="BE19" s="20"/>
      <c r="BF19" s="20"/>
      <c r="BG19" s="40"/>
      <c r="BH19" s="40"/>
      <c r="BI19" s="40"/>
      <c r="BJ19" s="20"/>
      <c r="BK19" s="5"/>
      <c r="BL19" s="13"/>
      <c r="BQ19" s="13"/>
      <c r="BR19" s="13"/>
      <c r="BS19" s="13"/>
      <c r="BT19" s="12"/>
      <c r="BU19" s="12"/>
      <c r="BV19" s="13"/>
      <c r="BW19" s="12"/>
    </row>
    <row r="20" spans="9:75" ht="12.75">
      <c r="I20" s="11" t="s">
        <v>76</v>
      </c>
      <c r="J20">
        <f>2-J19</f>
        <v>1.0996679946249557</v>
      </c>
      <c r="K20" s="11" t="s">
        <v>138</v>
      </c>
      <c r="L20">
        <f>J20^3*J19</f>
        <v>1.1972571649315373</v>
      </c>
      <c r="AG20" s="12"/>
      <c r="AH20" s="12"/>
      <c r="AI20" s="12"/>
      <c r="AJ20" s="20"/>
      <c r="AK20" s="20"/>
      <c r="AL20" s="20"/>
      <c r="AM20" s="20"/>
      <c r="AN20" s="20"/>
      <c r="AO20" s="20"/>
      <c r="AP20" s="20"/>
      <c r="AQ20" s="20"/>
      <c r="AR20" s="20"/>
      <c r="AS20" s="35"/>
      <c r="AT20" s="34"/>
      <c r="AU20" s="34"/>
      <c r="AV20" s="35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40"/>
      <c r="BK20" s="13"/>
      <c r="BL20" s="13"/>
      <c r="BQ20" s="13"/>
      <c r="BR20" s="13"/>
      <c r="BS20" s="13"/>
      <c r="BT20" s="12"/>
      <c r="BU20" s="12"/>
      <c r="BV20" s="12"/>
      <c r="BW20" s="13"/>
    </row>
    <row r="21" spans="11:75" ht="12.75">
      <c r="K21" s="11" t="s">
        <v>139</v>
      </c>
      <c r="L21">
        <f>J20^2*J19^2</f>
        <v>0.9802312602724073</v>
      </c>
      <c r="AG21" s="12"/>
      <c r="AH21" s="12"/>
      <c r="AI21" s="12"/>
      <c r="AJ21" s="20"/>
      <c r="AK21" s="20"/>
      <c r="AL21" s="20"/>
      <c r="AM21" s="20"/>
      <c r="AN21" s="20"/>
      <c r="AO21" s="20"/>
      <c r="AP21" s="20"/>
      <c r="AQ21" s="20"/>
      <c r="AR21" s="20"/>
      <c r="AS21" s="35"/>
      <c r="AT21" s="34"/>
      <c r="AU21" s="34"/>
      <c r="AV21" s="35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40"/>
      <c r="BK21" s="13"/>
      <c r="BL21" s="13"/>
      <c r="BQ21" s="13"/>
      <c r="BR21" s="13"/>
      <c r="BS21" s="13"/>
      <c r="BT21" s="12"/>
      <c r="BU21" s="12"/>
      <c r="BV21" s="12"/>
      <c r="BW21" s="13"/>
    </row>
    <row r="22" spans="11:75" ht="12.75">
      <c r="K22" s="11" t="s">
        <v>140</v>
      </c>
      <c r="L22">
        <f>J20*J19^3</f>
        <v>0.8025454779134075</v>
      </c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35"/>
      <c r="AT22" s="34"/>
      <c r="AU22" s="36"/>
      <c r="AV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40"/>
      <c r="BK22" s="13"/>
      <c r="BL22" s="20"/>
      <c r="BQ22" s="13"/>
      <c r="BR22" s="13"/>
      <c r="BS22" s="13"/>
      <c r="BT22" s="12"/>
      <c r="BU22" s="12"/>
      <c r="BV22" s="12"/>
      <c r="BW22" s="13"/>
    </row>
    <row r="23" spans="11:75" ht="12.75">
      <c r="K23" s="11" t="s">
        <v>77</v>
      </c>
      <c r="L23">
        <f>J19^4</f>
        <v>0.6570686635113732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35"/>
      <c r="AT23" s="34"/>
      <c r="AU23" s="34"/>
      <c r="AV23" s="35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40"/>
      <c r="BK23" s="13"/>
      <c r="BL23" s="13"/>
      <c r="BQ23" s="13"/>
      <c r="BR23" s="13"/>
      <c r="BS23" s="13"/>
      <c r="BT23" s="12"/>
      <c r="BU23" s="12"/>
      <c r="BV23" s="12"/>
      <c r="BW23" s="13"/>
    </row>
    <row r="24" spans="17:64" ht="12.75"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37"/>
      <c r="AT24" s="37"/>
      <c r="AU24" s="34"/>
      <c r="AV24" s="35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L24" s="13"/>
    </row>
    <row r="25" spans="17:48" ht="12.75"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20"/>
      <c r="AH25" s="20"/>
      <c r="AI25" s="20"/>
      <c r="AJ25" s="20"/>
      <c r="AK25" s="38"/>
      <c r="AL25" s="38"/>
      <c r="AM25" s="20"/>
      <c r="AN25" s="38"/>
      <c r="AO25" s="38"/>
      <c r="AP25" s="37"/>
      <c r="AQ25" s="20"/>
      <c r="AR25" s="37"/>
      <c r="AS25" s="20"/>
      <c r="AT25" s="20"/>
      <c r="AU25" s="20"/>
      <c r="AV25" s="20"/>
    </row>
    <row r="26" spans="17:48" ht="12.75"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20"/>
      <c r="AH26" s="20"/>
      <c r="AI26" s="20"/>
      <c r="AJ26" s="20"/>
      <c r="AK26" s="20"/>
      <c r="AL26" s="20"/>
      <c r="AM26" s="38" t="s">
        <v>98</v>
      </c>
      <c r="AN26" s="20"/>
      <c r="AO26" s="20"/>
      <c r="AP26" s="20"/>
      <c r="AQ26" s="37" t="s">
        <v>99</v>
      </c>
      <c r="AR26" s="20"/>
      <c r="AS26" s="38" t="s">
        <v>100</v>
      </c>
      <c r="AT26" s="20"/>
      <c r="AU26" s="35" t="s">
        <v>101</v>
      </c>
      <c r="AV26" s="35"/>
    </row>
    <row r="27" spans="17:60" ht="12.75"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13"/>
      <c r="BH27" s="13"/>
    </row>
    <row r="28" spans="17:37" ht="12.75"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 t="s">
        <v>141</v>
      </c>
      <c r="AH28" s="14"/>
      <c r="AI28" s="10">
        <f>8*AL13+8*AM13+108*AN13</f>
        <v>106.79715071695688</v>
      </c>
      <c r="AJ28" s="14"/>
      <c r="AK28" s="14"/>
    </row>
    <row r="29" spans="17:37" ht="12.75"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7:37" ht="12.75"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7:37" ht="12.75"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7:37" ht="12.75"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7:37" ht="12.75"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7:96" ht="12.75"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14"/>
      <c r="AQ34" s="14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14"/>
      <c r="BD34" s="14"/>
      <c r="BE34" s="14"/>
      <c r="BF34" s="14"/>
      <c r="BG34" s="14"/>
      <c r="BH34" s="14"/>
      <c r="BI34" s="14"/>
      <c r="BJ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</row>
    <row r="35" spans="17:96" ht="12.75"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14"/>
      <c r="AQ35" s="14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14"/>
      <c r="BD35" s="14"/>
      <c r="BE35" s="14"/>
      <c r="BF35" s="14"/>
      <c r="BG35" s="14"/>
      <c r="BH35" s="14"/>
      <c r="BI35" s="14"/>
      <c r="BJ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20"/>
      <c r="CM35" s="14"/>
      <c r="CN35" s="14"/>
      <c r="CO35" s="14"/>
      <c r="CP35" s="14"/>
      <c r="CQ35" s="14"/>
      <c r="CR35" s="14"/>
    </row>
    <row r="36" spans="1:96" ht="12.75">
      <c r="A36" s="2" t="s">
        <v>79</v>
      </c>
      <c r="H36" t="s">
        <v>4</v>
      </c>
      <c r="O36" s="4"/>
      <c r="V36" s="4"/>
      <c r="W36" s="4"/>
      <c r="AQ36" t="s">
        <v>5</v>
      </c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</row>
    <row r="37" spans="1:96" ht="12.75">
      <c r="A37" s="5" t="s">
        <v>7</v>
      </c>
      <c r="B37" s="6" t="s">
        <v>8</v>
      </c>
      <c r="C37" s="6" t="s">
        <v>9</v>
      </c>
      <c r="D37" s="6" t="s">
        <v>10</v>
      </c>
      <c r="E37" s="6" t="s">
        <v>11</v>
      </c>
      <c r="F37" s="6" t="s">
        <v>12</v>
      </c>
      <c r="G37" s="6" t="s">
        <v>13</v>
      </c>
      <c r="H37" s="6" t="s">
        <v>14</v>
      </c>
      <c r="J37" s="6" t="s">
        <v>15</v>
      </c>
      <c r="K37" s="6" t="s">
        <v>16</v>
      </c>
      <c r="L37" s="6" t="s">
        <v>17</v>
      </c>
      <c r="N37" s="7" t="s">
        <v>18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AA37" s="8" t="s">
        <v>19</v>
      </c>
      <c r="AB37" s="8"/>
      <c r="AC37" s="8"/>
      <c r="AD37" s="8"/>
      <c r="AE37" s="8"/>
      <c r="AF37" s="8"/>
      <c r="AG37" s="8"/>
      <c r="AH37" s="8"/>
      <c r="AJ37" s="7" t="s">
        <v>20</v>
      </c>
      <c r="AK37" s="8"/>
      <c r="AL37" s="8"/>
      <c r="AM37" s="8"/>
      <c r="AN37" s="8"/>
      <c r="AO37" s="8"/>
      <c r="AP37" s="8"/>
      <c r="AQ37" s="8"/>
      <c r="AS37" s="9" t="s">
        <v>21</v>
      </c>
      <c r="AT37" s="10"/>
      <c r="AU37" s="10"/>
      <c r="AV37" s="10"/>
      <c r="AW37" s="10"/>
      <c r="AX37" s="10"/>
      <c r="AY37" s="10"/>
      <c r="AZ37" s="10"/>
      <c r="BB37" t="s">
        <v>22</v>
      </c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</row>
    <row r="38" spans="1:96" ht="12.75">
      <c r="A38" s="12">
        <v>0.5</v>
      </c>
      <c r="B38" s="13">
        <f>J5*C5</f>
        <v>0.05498339973124779</v>
      </c>
      <c r="C38" s="12">
        <f>P4</f>
        <v>0.40895013292987914</v>
      </c>
      <c r="D38" s="13">
        <f>L8*$C$6</f>
        <v>0.06046348492012358</v>
      </c>
      <c r="E38" s="12">
        <f>P8</f>
        <v>0.31650182175152564</v>
      </c>
      <c r="F38" s="13">
        <f>C7*L13</f>
        <v>0.06648975921014855</v>
      </c>
      <c r="G38" s="12">
        <f>P14</f>
        <v>0.18213991057317236</v>
      </c>
      <c r="H38" s="13">
        <f>C8*L19</f>
        <v>0.07311666017372023</v>
      </c>
      <c r="J38" s="12">
        <f>A38*C38</f>
        <v>0.20447506646493957</v>
      </c>
      <c r="K38" s="12">
        <f>J38*E38</f>
        <v>0.06471673103891766</v>
      </c>
      <c r="L38" s="12">
        <f>K38*G38</f>
        <v>0.01178749960401651</v>
      </c>
      <c r="M38" s="14"/>
      <c r="N38" s="7" t="s">
        <v>8</v>
      </c>
      <c r="O38" s="8" t="s">
        <v>26</v>
      </c>
      <c r="P38" s="7" t="s">
        <v>27</v>
      </c>
      <c r="Q38" s="8" t="s">
        <v>28</v>
      </c>
      <c r="R38" s="8" t="s">
        <v>29</v>
      </c>
      <c r="S38" s="8"/>
      <c r="T38" s="8" t="s">
        <v>30</v>
      </c>
      <c r="U38" s="8"/>
      <c r="V38" s="8" t="s">
        <v>28</v>
      </c>
      <c r="W38" s="8"/>
      <c r="X38" s="8" t="s">
        <v>31</v>
      </c>
      <c r="Y38" s="8"/>
      <c r="Z38" s="14"/>
      <c r="AA38" s="8" t="str">
        <f>D37</f>
        <v>r2</v>
      </c>
      <c r="AB38" s="7" t="s">
        <v>32</v>
      </c>
      <c r="AC38" s="8" t="s">
        <v>27</v>
      </c>
      <c r="AD38" s="8" t="s">
        <v>28</v>
      </c>
      <c r="AE38" s="8" t="s">
        <v>33</v>
      </c>
      <c r="AF38" s="8" t="s">
        <v>30</v>
      </c>
      <c r="AG38" s="8" t="s">
        <v>28</v>
      </c>
      <c r="AH38" s="8" t="s">
        <v>31</v>
      </c>
      <c r="AI38" s="14"/>
      <c r="AJ38" t="s">
        <v>34</v>
      </c>
      <c r="AK38" s="11" t="s">
        <v>35</v>
      </c>
      <c r="AL38" t="s">
        <v>27</v>
      </c>
      <c r="AM38" t="s">
        <v>28</v>
      </c>
      <c r="AN38" t="s">
        <v>29</v>
      </c>
      <c r="AO38" t="s">
        <v>30</v>
      </c>
      <c r="AR38" s="14"/>
      <c r="AS38" s="9" t="s">
        <v>36</v>
      </c>
      <c r="AT38" s="9" t="s">
        <v>37</v>
      </c>
      <c r="AU38" s="10" t="s">
        <v>27</v>
      </c>
      <c r="AV38" s="10" t="s">
        <v>28</v>
      </c>
      <c r="AW38" s="10" t="s">
        <v>29</v>
      </c>
      <c r="AX38" s="10" t="s">
        <v>30</v>
      </c>
      <c r="AY38" s="10"/>
      <c r="AZ38" s="10"/>
      <c r="BA38" s="14"/>
      <c r="BB38" s="14"/>
      <c r="BC38" s="14"/>
      <c r="BD38" s="14"/>
      <c r="BE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</row>
    <row r="39" spans="1:96" ht="12.75">
      <c r="A39" s="12">
        <f aca="true" t="shared" si="0" ref="A39:F39">A38</f>
        <v>0.5</v>
      </c>
      <c r="B39" s="13">
        <f t="shared" si="0"/>
        <v>0.05498339973124779</v>
      </c>
      <c r="C39" s="12">
        <f t="shared" si="0"/>
        <v>0.40895013292987914</v>
      </c>
      <c r="D39" s="13">
        <f t="shared" si="0"/>
        <v>0.06046348492012358</v>
      </c>
      <c r="E39" s="12">
        <f t="shared" si="0"/>
        <v>0.31650182175152564</v>
      </c>
      <c r="F39" s="13">
        <f t="shared" si="0"/>
        <v>0.06648975921014855</v>
      </c>
      <c r="G39" s="12">
        <f>1-G38</f>
        <v>0.8178600894268276</v>
      </c>
      <c r="H39" s="13">
        <f>C8*L20</f>
        <v>0.05986285824657687</v>
      </c>
      <c r="J39" s="12">
        <f>A39*C39</f>
        <v>0.20447506646493957</v>
      </c>
      <c r="K39" s="12">
        <f>J39*E39</f>
        <v>0.06471673103891766</v>
      </c>
      <c r="L39" s="12">
        <f>K39*G39</f>
        <v>0.05292923143490115</v>
      </c>
      <c r="M39" s="14"/>
      <c r="N39" s="8">
        <f>B38</f>
        <v>0.05498339973124779</v>
      </c>
      <c r="O39" s="8">
        <f>LN(N39)</f>
        <v>-2.9007239623756376</v>
      </c>
      <c r="P39" s="8">
        <v>0.5</v>
      </c>
      <c r="Q39" s="8">
        <f>O39*P39</f>
        <v>-1.4503619811878188</v>
      </c>
      <c r="R39" s="8">
        <f>O39-O42</f>
        <v>0.10000000000000009</v>
      </c>
      <c r="S39" s="8"/>
      <c r="T39" s="8">
        <f>R39^2</f>
        <v>0.010000000000000018</v>
      </c>
      <c r="U39" s="8"/>
      <c r="V39" s="8">
        <f>T39*P39</f>
        <v>0.005000000000000009</v>
      </c>
      <c r="W39" s="8"/>
      <c r="X39" s="8">
        <f>N39*P39</f>
        <v>0.027491699865623893</v>
      </c>
      <c r="Y39" s="8"/>
      <c r="Z39" s="14"/>
      <c r="AA39" s="8">
        <f>D38</f>
        <v>0.06046348492012358</v>
      </c>
      <c r="AB39" s="8">
        <f>LN(AA39)</f>
        <v>-2.8057156511972843</v>
      </c>
      <c r="AC39" s="8">
        <f>J38</f>
        <v>0.20447506646493957</v>
      </c>
      <c r="AD39" s="8">
        <f>AB39*AC39</f>
        <v>-0.5736988942602859</v>
      </c>
      <c r="AE39" s="8">
        <f>AB39-$AD$44</f>
        <v>0.1982099734140239</v>
      </c>
      <c r="AF39" s="8">
        <f>AE39^2</f>
        <v>0.03928719356078807</v>
      </c>
      <c r="AG39" s="8">
        <f>AF39*AC39</f>
        <v>0.008033251514563087</v>
      </c>
      <c r="AH39" s="8">
        <f>AA39*AC39</f>
        <v>0.01236327509774414</v>
      </c>
      <c r="AI39" s="14"/>
      <c r="AJ39" s="10">
        <f>F38</f>
        <v>0.06648975921014855</v>
      </c>
      <c r="AK39" s="10">
        <f aca="true" t="shared" si="1" ref="AK39:AK46">LN(AJ39)</f>
        <v>-2.710707340018931</v>
      </c>
      <c r="AL39" s="10">
        <f>K38</f>
        <v>0.06471673103891766</v>
      </c>
      <c r="AM39" s="10">
        <f aca="true" t="shared" si="2" ref="AM39:AM46">AK39*AL39</f>
        <v>-0.17542811784922507</v>
      </c>
      <c r="AN39" s="10">
        <f aca="true" t="shared" si="3" ref="AN39:AN46">AK39-$AM$48</f>
        <v>0.2952676143809141</v>
      </c>
      <c r="AO39" s="10">
        <f aca="true" t="shared" si="4" ref="AO39:AO46">AN39^2</f>
        <v>0.08718296410219618</v>
      </c>
      <c r="AP39" s="10">
        <f aca="true" t="shared" si="5" ref="AP39:AP46">AO39*AL39</f>
        <v>0.005642196438977444</v>
      </c>
      <c r="AQ39" s="10">
        <f aca="true" t="shared" si="6" ref="AQ39:AQ46">AJ39*AL39</f>
        <v>0.004302999863645582</v>
      </c>
      <c r="AR39" s="14"/>
      <c r="AS39" s="10">
        <f>H38</f>
        <v>0.07311666017372023</v>
      </c>
      <c r="AT39" s="10">
        <f aca="true" t="shared" si="7" ref="AT39:AT54">LN(AS39)</f>
        <v>-2.6156990288405777</v>
      </c>
      <c r="AU39" s="10">
        <f>L38</f>
        <v>0.01178749960401651</v>
      </c>
      <c r="AV39" s="10">
        <f aca="true" t="shared" si="8" ref="AV39:AV54">AT39*AU39</f>
        <v>-0.03083255126668468</v>
      </c>
      <c r="AW39" s="10">
        <f aca="true" t="shared" si="9" ref="AW39:AW54">AT39-$AV$56</f>
        <v>0.39978610939009585</v>
      </c>
      <c r="AX39" s="10">
        <f aca="true" t="shared" si="10" ref="AX39:AX54">AW39^2</f>
        <v>0.15982893326126968</v>
      </c>
      <c r="AY39" s="10">
        <f aca="true" t="shared" si="11" ref="AY39:AY54">AX39*AU39</f>
        <v>0.0018839834875275976</v>
      </c>
      <c r="AZ39" s="10">
        <f aca="true" t="shared" si="12" ref="AZ39:AZ54">AS39*AU39</f>
        <v>0.000861862602844737</v>
      </c>
      <c r="BA39" s="14"/>
      <c r="BB39" s="16" t="s">
        <v>40</v>
      </c>
      <c r="BC39" s="17" t="s">
        <v>43</v>
      </c>
      <c r="BD39" s="17" t="s">
        <v>44</v>
      </c>
      <c r="BE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</row>
    <row r="40" spans="1:96" ht="12.75">
      <c r="A40" s="12">
        <f>A38</f>
        <v>0.5</v>
      </c>
      <c r="B40" s="13">
        <f>B38</f>
        <v>0.05498339973124779</v>
      </c>
      <c r="C40" s="12">
        <f>C39</f>
        <v>0.40895013292987914</v>
      </c>
      <c r="D40" s="13">
        <f>D38</f>
        <v>0.06046348492012358</v>
      </c>
      <c r="E40" s="12">
        <f>1-E38</f>
        <v>0.6834981782484744</v>
      </c>
      <c r="F40" s="13">
        <f>C7*L14</f>
        <v>0.05443721063009861</v>
      </c>
      <c r="G40" s="12">
        <f>P15</f>
        <v>0.3821399105731719</v>
      </c>
      <c r="H40" s="13">
        <f>C8*L20</f>
        <v>0.05986285824657687</v>
      </c>
      <c r="J40" s="12">
        <f>A40*C40</f>
        <v>0.20447506646493957</v>
      </c>
      <c r="K40" s="12">
        <f>J40*E40</f>
        <v>0.1397583354260219</v>
      </c>
      <c r="L40" s="12">
        <f>K40*G40</f>
        <v>0.053407237801555374</v>
      </c>
      <c r="M40" s="14"/>
      <c r="N40" s="8">
        <f>B49</f>
        <v>0.04501660026875222</v>
      </c>
      <c r="O40" s="8">
        <f>LN(N40)</f>
        <v>-3.1007239623756373</v>
      </c>
      <c r="P40" s="8">
        <v>0.5</v>
      </c>
      <c r="Q40" s="8">
        <f>O40*P40</f>
        <v>-1.5503619811878186</v>
      </c>
      <c r="R40" s="8">
        <f>O40-O42</f>
        <v>-0.09999999999999964</v>
      </c>
      <c r="S40" s="8"/>
      <c r="T40" s="8">
        <f>R40^2</f>
        <v>0.009999999999999929</v>
      </c>
      <c r="U40" s="8"/>
      <c r="V40" s="8">
        <f>T40*P40</f>
        <v>0.0049999999999999645</v>
      </c>
      <c r="W40" s="8"/>
      <c r="X40" s="8">
        <f>N40*P40</f>
        <v>0.02250830013437611</v>
      </c>
      <c r="Y40" s="8"/>
      <c r="Z40" s="14"/>
      <c r="AA40" s="8">
        <f>D43</f>
        <v>0.049503314542371994</v>
      </c>
      <c r="AB40" s="8">
        <f>LN(AA40)</f>
        <v>-3.005715651197284</v>
      </c>
      <c r="AC40" s="8">
        <f>J43</f>
        <v>0.29552493353506043</v>
      </c>
      <c r="AD40" s="8">
        <f>AB40*AC40</f>
        <v>-0.8882639180453682</v>
      </c>
      <c r="AE40" s="8">
        <f>AB40-$AD$44</f>
        <v>-0.0017900265859758235</v>
      </c>
      <c r="AF40" s="8">
        <f>AE40^2</f>
        <v>3.2041951785002626E-06</v>
      </c>
      <c r="AG40" s="8">
        <f>AF40*AC40</f>
        <v>9.469195671596512E-07</v>
      </c>
      <c r="AH40" s="8">
        <f>AA40*AC40</f>
        <v>0.014629463739899673</v>
      </c>
      <c r="AI40" s="14"/>
      <c r="AJ40" s="10">
        <f>F40</f>
        <v>0.05443721063009861</v>
      </c>
      <c r="AK40" s="10">
        <f t="shared" si="1"/>
        <v>-2.9107073400189307</v>
      </c>
      <c r="AL40" s="10">
        <f>K40</f>
        <v>0.1397583354260219</v>
      </c>
      <c r="AM40" s="10">
        <f t="shared" si="2"/>
        <v>-0.4067956127533497</v>
      </c>
      <c r="AN40" s="10">
        <f t="shared" si="3"/>
        <v>0.09526761438091436</v>
      </c>
      <c r="AO40" s="10">
        <f t="shared" si="4"/>
        <v>0.009075918349830599</v>
      </c>
      <c r="AP40" s="10">
        <f t="shared" si="5"/>
        <v>0.001268435241034812</v>
      </c>
      <c r="AQ40" s="10">
        <f t="shared" si="6"/>
        <v>0.007608053942898326</v>
      </c>
      <c r="AR40" s="14"/>
      <c r="AS40" s="10">
        <f>H39</f>
        <v>0.05986285824657687</v>
      </c>
      <c r="AT40" s="10">
        <f t="shared" si="7"/>
        <v>-2.8156990288405774</v>
      </c>
      <c r="AU40" s="10">
        <f>L39</f>
        <v>0.05292923143490115</v>
      </c>
      <c r="AV40" s="10">
        <f t="shared" si="8"/>
        <v>-0.14903278554852933</v>
      </c>
      <c r="AW40" s="10">
        <f t="shared" si="9"/>
        <v>0.1997861093900961</v>
      </c>
      <c r="AX40" s="10">
        <f t="shared" si="10"/>
        <v>0.03991448950523145</v>
      </c>
      <c r="AY40" s="10">
        <f t="shared" si="11"/>
        <v>0.0021126432526283284</v>
      </c>
      <c r="AZ40" s="10">
        <f t="shared" si="12"/>
        <v>0.003168495078487748</v>
      </c>
      <c r="BA40" s="14"/>
      <c r="BB40" s="18">
        <f aca="true" t="shared" si="13" ref="BB40:BC43">F5</f>
        <v>1</v>
      </c>
      <c r="BC40" s="12">
        <f t="shared" si="13"/>
        <v>0.1</v>
      </c>
      <c r="BD40" s="12">
        <f>C5</f>
        <v>0.05</v>
      </c>
      <c r="BE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</row>
    <row r="41" spans="1:96" ht="12.75">
      <c r="A41" s="12">
        <f>A40</f>
        <v>0.5</v>
      </c>
      <c r="B41" s="13">
        <f>B40</f>
        <v>0.05498339973124779</v>
      </c>
      <c r="C41" s="12">
        <f>C40</f>
        <v>0.40895013292987914</v>
      </c>
      <c r="D41" s="13">
        <f>D40</f>
        <v>0.06046348492012358</v>
      </c>
      <c r="E41" s="12">
        <f>E40</f>
        <v>0.6834981782484744</v>
      </c>
      <c r="F41" s="13">
        <f>F40</f>
        <v>0.05443721063009861</v>
      </c>
      <c r="G41" s="12">
        <f>1-G40</f>
        <v>0.617860089426828</v>
      </c>
      <c r="H41" s="13">
        <f>C8*L21</f>
        <v>0.04901156301362036</v>
      </c>
      <c r="J41" s="12">
        <f>A41*C41</f>
        <v>0.20447506646493957</v>
      </c>
      <c r="K41" s="12">
        <f>J41*E41</f>
        <v>0.1397583354260219</v>
      </c>
      <c r="L41" s="12">
        <f>K41*G41</f>
        <v>0.08635109762446651</v>
      </c>
      <c r="M41" s="14"/>
      <c r="Z41" s="14"/>
      <c r="AA41" s="8">
        <f>D49</f>
        <v>0.049503314542371994</v>
      </c>
      <c r="AB41" s="8">
        <f>LN(AA41)</f>
        <v>-3.005715651197284</v>
      </c>
      <c r="AC41" s="8">
        <f>J49</f>
        <v>0.30447506646493955</v>
      </c>
      <c r="AD41" s="8">
        <f>AB41*AC41</f>
        <v>-0.9151654726730021</v>
      </c>
      <c r="AE41" s="8">
        <f>AB41-$AD$44</f>
        <v>-0.0017900265859758235</v>
      </c>
      <c r="AF41" s="8">
        <f>AE41^2</f>
        <v>3.2041951785002626E-06</v>
      </c>
      <c r="AG41" s="8">
        <f>AF41*AC41</f>
        <v>9.755975399405063E-07</v>
      </c>
      <c r="AH41" s="8">
        <f>AA41*AC41</f>
        <v>0.01507252498552352</v>
      </c>
      <c r="AI41" s="14"/>
      <c r="AJ41" s="10">
        <f>F43</f>
        <v>0.05443721063009861</v>
      </c>
      <c r="AK41" s="10">
        <f t="shared" si="1"/>
        <v>-2.9107073400189307</v>
      </c>
      <c r="AL41" s="10">
        <f>K43</f>
        <v>0.15263916654385723</v>
      </c>
      <c r="AM41" s="10">
        <f t="shared" si="2"/>
        <v>-0.4442879424335772</v>
      </c>
      <c r="AN41" s="10">
        <f t="shared" si="3"/>
        <v>0.09526761438091436</v>
      </c>
      <c r="AO41" s="10">
        <f t="shared" si="4"/>
        <v>0.009075918349830599</v>
      </c>
      <c r="AP41" s="10">
        <f t="shared" si="5"/>
        <v>0.0013853406125382427</v>
      </c>
      <c r="AQ41" s="10">
        <f t="shared" si="6"/>
        <v>0.008309250459550657</v>
      </c>
      <c r="AR41" s="14"/>
      <c r="AS41" s="10">
        <f>H40</f>
        <v>0.05986285824657687</v>
      </c>
      <c r="AT41" s="10">
        <f t="shared" si="7"/>
        <v>-2.8156990288405774</v>
      </c>
      <c r="AU41" s="10">
        <f>L40</f>
        <v>0.053407237801555374</v>
      </c>
      <c r="AV41" s="10">
        <f t="shared" si="8"/>
        <v>-0.15037870761089725</v>
      </c>
      <c r="AW41" s="10">
        <f t="shared" si="9"/>
        <v>0.1997861093900961</v>
      </c>
      <c r="AX41" s="10">
        <f t="shared" si="10"/>
        <v>0.03991448950523145</v>
      </c>
      <c r="AY41" s="10">
        <f t="shared" si="11"/>
        <v>0.0021317226327335825</v>
      </c>
      <c r="AZ41" s="10">
        <f t="shared" si="12"/>
        <v>0.0031971099058557308</v>
      </c>
      <c r="BA41" s="14"/>
      <c r="BB41" s="18">
        <f t="shared" si="13"/>
        <v>2</v>
      </c>
      <c r="BC41" s="12">
        <f t="shared" si="13"/>
        <v>0.09055385138137417</v>
      </c>
      <c r="BD41" s="12">
        <f>C6</f>
        <v>0.05</v>
      </c>
      <c r="BE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</row>
    <row r="42" spans="1:96" ht="12.75">
      <c r="A42" s="12"/>
      <c r="B42" s="13"/>
      <c r="C42" s="12"/>
      <c r="D42" s="13"/>
      <c r="E42" s="12"/>
      <c r="F42" s="13"/>
      <c r="G42" s="12"/>
      <c r="H42" s="13"/>
      <c r="J42" s="12"/>
      <c r="K42" s="12"/>
      <c r="L42" s="12"/>
      <c r="M42" s="14"/>
      <c r="N42" s="8" t="s">
        <v>49</v>
      </c>
      <c r="O42" s="8">
        <f>Q39+Q40</f>
        <v>-3.0007239623756377</v>
      </c>
      <c r="P42" s="8"/>
      <c r="Q42" s="8"/>
      <c r="R42" s="8"/>
      <c r="S42" s="8"/>
      <c r="T42" s="8" t="s">
        <v>50</v>
      </c>
      <c r="U42" s="8"/>
      <c r="V42" s="8">
        <f>0.5*SUM(T39:T40)</f>
        <v>0.009999999999999974</v>
      </c>
      <c r="W42" s="8"/>
      <c r="Z42" s="14"/>
      <c r="AA42" s="8">
        <f>D54</f>
        <v>0.04052988599513244</v>
      </c>
      <c r="AB42" s="8">
        <f>LN(AA42)</f>
        <v>-3.2057156511972837</v>
      </c>
      <c r="AC42" s="8">
        <f>J54</f>
        <v>0.19552493353506045</v>
      </c>
      <c r="AD42" s="8">
        <f>AB42*AC42</f>
        <v>-0.6267973396326519</v>
      </c>
      <c r="AE42" s="8">
        <f>AB42-$AD$44</f>
        <v>-0.20179002658597556</v>
      </c>
      <c r="AF42" s="8">
        <f>AE42^2</f>
        <v>0.04071921482956872</v>
      </c>
      <c r="AG42" s="8">
        <f>AF42*AC42</f>
        <v>0.007961621773151272</v>
      </c>
      <c r="AH42" s="8">
        <f>AA42*AC42</f>
        <v>0.007924603265381849</v>
      </c>
      <c r="AI42" s="14"/>
      <c r="AJ42" s="10">
        <f>F45</f>
        <v>0.044569418454645376</v>
      </c>
      <c r="AK42" s="10">
        <f t="shared" si="1"/>
        <v>-3.11070734001893</v>
      </c>
      <c r="AL42" s="10">
        <f>K45</f>
        <v>0.1428857669912032</v>
      </c>
      <c r="AM42" s="10">
        <f t="shared" si="2"/>
        <v>-0.44447580416377036</v>
      </c>
      <c r="AN42" s="10">
        <f t="shared" si="3"/>
        <v>-0.10473238561908493</v>
      </c>
      <c r="AO42" s="10">
        <f t="shared" si="4"/>
        <v>0.010968872597464709</v>
      </c>
      <c r="AP42" s="10">
        <f t="shared" si="5"/>
        <v>0.0015672957741175361</v>
      </c>
      <c r="AQ42" s="10">
        <f t="shared" si="6"/>
        <v>0.006368335540243891</v>
      </c>
      <c r="AR42" s="14"/>
      <c r="AS42" s="10">
        <f>H41</f>
        <v>0.04901156301362036</v>
      </c>
      <c r="AT42" s="10">
        <f t="shared" si="7"/>
        <v>-3.015699028840577</v>
      </c>
      <c r="AU42" s="10">
        <f>L41</f>
        <v>0.08635109762446651</v>
      </c>
      <c r="AV42" s="10">
        <f t="shared" si="8"/>
        <v>-0.26040892124542153</v>
      </c>
      <c r="AW42" s="10">
        <f t="shared" si="9"/>
        <v>-0.00021389060990362196</v>
      </c>
      <c r="AX42" s="10">
        <f t="shared" si="10"/>
        <v>4.5749193004943384E-08</v>
      </c>
      <c r="AY42" s="10">
        <f t="shared" si="11"/>
        <v>3.950493031410427E-09</v>
      </c>
      <c r="AZ42" s="10">
        <f t="shared" si="12"/>
        <v>0.004232202262516824</v>
      </c>
      <c r="BA42" s="14"/>
      <c r="BB42" s="18">
        <f t="shared" si="13"/>
        <v>3</v>
      </c>
      <c r="BC42" s="12">
        <f t="shared" si="13"/>
        <v>0.0826559132790873</v>
      </c>
      <c r="BD42" s="12">
        <f>C7</f>
        <v>0.05</v>
      </c>
      <c r="BE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</row>
    <row r="43" spans="1:96" ht="12.75">
      <c r="A43" s="12">
        <f>A40</f>
        <v>0.5</v>
      </c>
      <c r="B43" s="13">
        <f>B40</f>
        <v>0.05498339973124779</v>
      </c>
      <c r="C43" s="12">
        <f>1-C38</f>
        <v>0.5910498670701209</v>
      </c>
      <c r="D43" s="13">
        <f>L9*$C$6</f>
        <v>0.049503314542371994</v>
      </c>
      <c r="E43" s="12">
        <f>P9</f>
        <v>0.5165018217515256</v>
      </c>
      <c r="F43" s="13">
        <f aca="true" t="shared" si="14" ref="F43:H44">F40</f>
        <v>0.05443721063009861</v>
      </c>
      <c r="G43" s="12">
        <f t="shared" si="14"/>
        <v>0.3821399105731719</v>
      </c>
      <c r="H43" s="13">
        <f t="shared" si="14"/>
        <v>0.05986285824657687</v>
      </c>
      <c r="J43" s="12">
        <f>A43*C43</f>
        <v>0.29552493353506043</v>
      </c>
      <c r="K43" s="12">
        <f>J43*E43</f>
        <v>0.15263916654385723</v>
      </c>
      <c r="L43" s="12">
        <f>K43*G43</f>
        <v>0.058329517453033095</v>
      </c>
      <c r="M43" s="14"/>
      <c r="N43" s="8"/>
      <c r="O43" s="8"/>
      <c r="P43" s="8"/>
      <c r="Q43" s="8"/>
      <c r="R43" s="8"/>
      <c r="S43" s="8"/>
      <c r="T43" s="8" t="s">
        <v>54</v>
      </c>
      <c r="U43" s="8"/>
      <c r="V43" s="8">
        <f>V42^0.5</f>
        <v>0.09999999999999987</v>
      </c>
      <c r="W43" s="8"/>
      <c r="X43" s="8"/>
      <c r="Y43" s="8"/>
      <c r="Z43" s="14"/>
      <c r="AA43" s="8"/>
      <c r="AB43" s="8"/>
      <c r="AC43" s="8"/>
      <c r="AD43" s="8"/>
      <c r="AE43" s="8"/>
      <c r="AF43" s="8"/>
      <c r="AG43" s="8"/>
      <c r="AH43" s="8"/>
      <c r="AI43" s="14"/>
      <c r="AJ43" s="10">
        <f>F49</f>
        <v>0.05443721063009861</v>
      </c>
      <c r="AK43" s="10">
        <f t="shared" si="1"/>
        <v>-2.9107073400189307</v>
      </c>
      <c r="AL43" s="10">
        <f>K49</f>
        <v>0.15726192650705811</v>
      </c>
      <c r="AM43" s="10">
        <f t="shared" si="2"/>
        <v>-0.4577434437896117</v>
      </c>
      <c r="AN43" s="10">
        <f t="shared" si="3"/>
        <v>0.09526761438091436</v>
      </c>
      <c r="AO43" s="10">
        <f t="shared" si="4"/>
        <v>0.009075918349830599</v>
      </c>
      <c r="AP43" s="10">
        <f t="shared" si="5"/>
        <v>0.0014272964045151197</v>
      </c>
      <c r="AQ43" s="10">
        <f t="shared" si="6"/>
        <v>0.00856090061735981</v>
      </c>
      <c r="AR43" s="14"/>
      <c r="AS43" s="10">
        <f>H43</f>
        <v>0.05986285824657687</v>
      </c>
      <c r="AT43" s="10">
        <f t="shared" si="7"/>
        <v>-2.8156990288405774</v>
      </c>
      <c r="AU43" s="10">
        <f>L43</f>
        <v>0.058329517453033095</v>
      </c>
      <c r="AV43" s="10">
        <f t="shared" si="8"/>
        <v>-0.1642383656452448</v>
      </c>
      <c r="AW43" s="10">
        <f t="shared" si="9"/>
        <v>0.1997861093900961</v>
      </c>
      <c r="AX43" s="10">
        <f t="shared" si="10"/>
        <v>0.03991448950523145</v>
      </c>
      <c r="AY43" s="10">
        <f t="shared" si="11"/>
        <v>0.002328192912224304</v>
      </c>
      <c r="AZ43" s="10">
        <f t="shared" si="12"/>
        <v>0.0034917716348821515</v>
      </c>
      <c r="BA43" s="14"/>
      <c r="BB43" s="18">
        <f t="shared" si="13"/>
        <v>4</v>
      </c>
      <c r="BC43" s="12">
        <f t="shared" si="13"/>
        <v>0.07602210204933826</v>
      </c>
      <c r="BD43" s="12">
        <f>C8</f>
        <v>0.05</v>
      </c>
      <c r="BE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</row>
    <row r="44" spans="1:96" ht="12.75">
      <c r="A44" s="12">
        <f>A43</f>
        <v>0.5</v>
      </c>
      <c r="B44" s="13">
        <f>B43</f>
        <v>0.05498339973124779</v>
      </c>
      <c r="C44" s="12">
        <f>1-C39</f>
        <v>0.5910498670701209</v>
      </c>
      <c r="D44" s="13">
        <f>D43</f>
        <v>0.049503314542371994</v>
      </c>
      <c r="E44" s="12">
        <f>E43</f>
        <v>0.5165018217515256</v>
      </c>
      <c r="F44" s="13">
        <f t="shared" si="14"/>
        <v>0.05443721063009861</v>
      </c>
      <c r="G44" s="12">
        <f t="shared" si="14"/>
        <v>0.617860089426828</v>
      </c>
      <c r="H44" s="13">
        <f t="shared" si="14"/>
        <v>0.04901156301362036</v>
      </c>
      <c r="J44" s="12">
        <f>A44*C44</f>
        <v>0.29552493353506043</v>
      </c>
      <c r="K44" s="12">
        <f>J44*E44</f>
        <v>0.15263916654385723</v>
      </c>
      <c r="L44" s="12">
        <f>K44*G44</f>
        <v>0.09430964909082412</v>
      </c>
      <c r="M44" s="14"/>
      <c r="N44" s="8"/>
      <c r="O44" s="8"/>
      <c r="P44" s="8"/>
      <c r="Q44" s="8"/>
      <c r="R44" s="8"/>
      <c r="S44" s="8"/>
      <c r="T44" s="8" t="s">
        <v>31</v>
      </c>
      <c r="U44" s="8"/>
      <c r="V44" s="8"/>
      <c r="W44" s="8"/>
      <c r="X44" s="8">
        <f>SUM(X39:X40)</f>
        <v>0.05</v>
      </c>
      <c r="Y44" s="8"/>
      <c r="Z44" s="14"/>
      <c r="AA44" s="8"/>
      <c r="AB44" s="8"/>
      <c r="AC44" s="8" t="s">
        <v>31</v>
      </c>
      <c r="AD44" s="8">
        <f>SUM(AD39:AD42)</f>
        <v>-3.003925624611308</v>
      </c>
      <c r="AE44" s="8"/>
      <c r="AF44" s="8" t="s">
        <v>50</v>
      </c>
      <c r="AG44" s="8">
        <f>SUM(AG39:AG42)</f>
        <v>0.01599679580482146</v>
      </c>
      <c r="AI44" s="14"/>
      <c r="AJ44" s="10">
        <f>F51</f>
        <v>0.044569418454645376</v>
      </c>
      <c r="AK44" s="10">
        <f t="shared" si="1"/>
        <v>-3.11070734001893</v>
      </c>
      <c r="AL44" s="10">
        <f>K51</f>
        <v>0.14721313995788143</v>
      </c>
      <c r="AM44" s="10">
        <f t="shared" si="2"/>
        <v>-0.4579369950142158</v>
      </c>
      <c r="AN44" s="10">
        <f t="shared" si="3"/>
        <v>-0.10473238561908493</v>
      </c>
      <c r="AO44" s="10">
        <f t="shared" si="4"/>
        <v>0.010968872597464709</v>
      </c>
      <c r="AP44" s="10">
        <f t="shared" si="5"/>
        <v>0.0016147621768707427</v>
      </c>
      <c r="AQ44" s="10">
        <f t="shared" si="6"/>
        <v>0.006561204036805094</v>
      </c>
      <c r="AR44" s="14"/>
      <c r="AS44" s="10">
        <f>H44</f>
        <v>0.04901156301362036</v>
      </c>
      <c r="AT44" s="10">
        <f t="shared" si="7"/>
        <v>-3.015699028840577</v>
      </c>
      <c r="AU44" s="10">
        <f>L44</f>
        <v>0.09430964909082412</v>
      </c>
      <c r="AV44" s="10">
        <f t="shared" si="8"/>
        <v>-0.28440951717349394</v>
      </c>
      <c r="AW44" s="10">
        <f t="shared" si="9"/>
        <v>-0.00021389060990362196</v>
      </c>
      <c r="AX44" s="10">
        <f t="shared" si="10"/>
        <v>4.5749193004943384E-08</v>
      </c>
      <c r="AY44" s="10">
        <f t="shared" si="11"/>
        <v>4.314590338484596E-09</v>
      </c>
      <c r="AZ44" s="10">
        <f t="shared" si="12"/>
        <v>0.00462226330920735</v>
      </c>
      <c r="BA44" s="14"/>
      <c r="BB44" s="18"/>
      <c r="BC44" s="12"/>
      <c r="BD44" s="12"/>
      <c r="BE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</row>
    <row r="45" spans="1:96" ht="12.75">
      <c r="A45" s="12">
        <f>A43</f>
        <v>0.5</v>
      </c>
      <c r="B45" s="13">
        <f>B43</f>
        <v>0.05498339973124779</v>
      </c>
      <c r="C45" s="12">
        <f>1-C40</f>
        <v>0.5910498670701209</v>
      </c>
      <c r="D45" s="13">
        <f>D43</f>
        <v>0.049503314542371994</v>
      </c>
      <c r="E45" s="12">
        <f>1-E43</f>
        <v>0.4834981782484744</v>
      </c>
      <c r="F45" s="13">
        <f>C7*L15</f>
        <v>0.044569418454645376</v>
      </c>
      <c r="G45" s="12">
        <f>P16</f>
        <v>0.5821399105731723</v>
      </c>
      <c r="H45" s="13">
        <f>C8*L21</f>
        <v>0.04901156301362036</v>
      </c>
      <c r="J45" s="12">
        <f>A45*C45</f>
        <v>0.29552493353506043</v>
      </c>
      <c r="K45" s="12">
        <f>J45*E45</f>
        <v>0.1428857669912032</v>
      </c>
      <c r="L45" s="12">
        <f>K45*G45</f>
        <v>0.08317950761843816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8"/>
      <c r="AB45" s="8"/>
      <c r="AC45" s="8"/>
      <c r="AD45" s="8"/>
      <c r="AE45" s="8"/>
      <c r="AF45" s="8" t="s">
        <v>54</v>
      </c>
      <c r="AG45" s="42">
        <f>(AG44/2)^0.5</f>
        <v>0.08943376265376925</v>
      </c>
      <c r="AH45" s="8"/>
      <c r="AI45" s="14"/>
      <c r="AJ45" s="10">
        <f>F54</f>
        <v>0.044569418454645376</v>
      </c>
      <c r="AK45" s="10">
        <f t="shared" si="1"/>
        <v>-3.11070734001893</v>
      </c>
      <c r="AL45" s="10">
        <f>K54</f>
        <v>0.14009397107571678</v>
      </c>
      <c r="AM45" s="10">
        <f t="shared" si="2"/>
        <v>-0.4357913441176319</v>
      </c>
      <c r="AN45" s="10">
        <f t="shared" si="3"/>
        <v>-0.10473238561908493</v>
      </c>
      <c r="AO45" s="10">
        <f t="shared" si="4"/>
        <v>0.010968872597464709</v>
      </c>
      <c r="AP45" s="10">
        <f t="shared" si="5"/>
        <v>0.0015366729204024433</v>
      </c>
      <c r="AQ45" s="10">
        <f t="shared" si="6"/>
        <v>0.006243906819846607</v>
      </c>
      <c r="AR45" s="14"/>
      <c r="AS45" s="10">
        <f>H45</f>
        <v>0.04901156301362036</v>
      </c>
      <c r="AT45" s="10">
        <f t="shared" si="7"/>
        <v>-3.015699028840577</v>
      </c>
      <c r="AU45" s="10">
        <f>L45</f>
        <v>0.08317950761843816</v>
      </c>
      <c r="AV45" s="10">
        <f t="shared" si="8"/>
        <v>-0.25084436034436136</v>
      </c>
      <c r="AW45" s="10">
        <f t="shared" si="9"/>
        <v>-0.00021389060990362196</v>
      </c>
      <c r="AX45" s="10">
        <f t="shared" si="10"/>
        <v>4.5749193004943384E-08</v>
      </c>
      <c r="AY45" s="10">
        <f t="shared" si="11"/>
        <v>3.805395348092086E-09</v>
      </c>
      <c r="AZ45" s="10">
        <f t="shared" si="12"/>
        <v>0.004076757679082997</v>
      </c>
      <c r="BA45" s="14"/>
      <c r="BB45" s="19" t="s">
        <v>40</v>
      </c>
      <c r="BC45" s="12" t="s">
        <v>60</v>
      </c>
      <c r="BD45" s="12" t="s">
        <v>61</v>
      </c>
      <c r="BE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</row>
    <row r="46" spans="1:96" ht="12.75">
      <c r="A46" s="12">
        <f>A45</f>
        <v>0.5</v>
      </c>
      <c r="B46" s="13">
        <f>B45</f>
        <v>0.05498339973124779</v>
      </c>
      <c r="C46" s="12">
        <f>1-C41</f>
        <v>0.5910498670701209</v>
      </c>
      <c r="D46" s="13">
        <f>D43</f>
        <v>0.049503314542371994</v>
      </c>
      <c r="E46" s="12">
        <f>E45</f>
        <v>0.4834981782484744</v>
      </c>
      <c r="F46" s="13">
        <f>F45</f>
        <v>0.044569418454645376</v>
      </c>
      <c r="G46" s="12">
        <f>1-G45</f>
        <v>0.41786008942682773</v>
      </c>
      <c r="H46" s="13">
        <f>C8*L22</f>
        <v>0.040127273895670376</v>
      </c>
      <c r="J46" s="12">
        <f>A46*C46</f>
        <v>0.29552493353506043</v>
      </c>
      <c r="K46" s="12">
        <f>J46*E46</f>
        <v>0.1428857669912032</v>
      </c>
      <c r="L46" s="12">
        <f>K46*G46</f>
        <v>0.05970625937276504</v>
      </c>
      <c r="M46" s="14"/>
      <c r="N46" s="14"/>
      <c r="O46" s="14"/>
      <c r="P46" s="14"/>
      <c r="Q46" s="14"/>
      <c r="R46" s="14"/>
      <c r="S46" s="14"/>
      <c r="T46" s="14" t="s">
        <v>43</v>
      </c>
      <c r="U46" s="14"/>
      <c r="V46" s="40">
        <f>G5</f>
        <v>0.1</v>
      </c>
      <c r="W46" s="14"/>
      <c r="X46" s="14"/>
      <c r="Y46" s="14"/>
      <c r="Z46" s="14"/>
      <c r="AA46" s="8"/>
      <c r="AB46" s="8"/>
      <c r="AC46" s="8"/>
      <c r="AD46" s="8"/>
      <c r="AE46" s="8"/>
      <c r="AF46" s="8" t="s">
        <v>31</v>
      </c>
      <c r="AG46" s="8"/>
      <c r="AH46" s="8">
        <f>SUM(AH39:AH42)</f>
        <v>0.04998986708854918</v>
      </c>
      <c r="AI46" s="14"/>
      <c r="AJ46" s="10">
        <f>F56</f>
        <v>0.03649035353561952</v>
      </c>
      <c r="AK46" s="10">
        <f t="shared" si="1"/>
        <v>-3.31070734001893</v>
      </c>
      <c r="AL46" s="10">
        <f>K56</f>
        <v>0.05543096245934369</v>
      </c>
      <c r="AM46" s="10">
        <f t="shared" si="2"/>
        <v>-0.18351569427846293</v>
      </c>
      <c r="AN46" s="10">
        <f t="shared" si="3"/>
        <v>-0.3047323856190851</v>
      </c>
      <c r="AO46" s="10">
        <f t="shared" si="4"/>
        <v>0.09286182684509879</v>
      </c>
      <c r="AP46" s="10">
        <f t="shared" si="5"/>
        <v>0.005147420437756745</v>
      </c>
      <c r="AQ46" s="10">
        <f t="shared" si="6"/>
        <v>0.0020226954169611047</v>
      </c>
      <c r="AR46" s="14"/>
      <c r="AS46" s="10">
        <f>H46</f>
        <v>0.040127273895670376</v>
      </c>
      <c r="AT46" s="10">
        <f t="shared" si="7"/>
        <v>-3.215699028840577</v>
      </c>
      <c r="AU46" s="10">
        <f>L46</f>
        <v>0.05970625937276504</v>
      </c>
      <c r="AV46" s="10">
        <f t="shared" si="8"/>
        <v>-0.19199736028070413</v>
      </c>
      <c r="AW46" s="10">
        <f t="shared" si="9"/>
        <v>-0.20021389060990336</v>
      </c>
      <c r="AX46" s="10">
        <f t="shared" si="10"/>
        <v>0.04008560199315435</v>
      </c>
      <c r="AY46" s="10">
        <f t="shared" si="11"/>
        <v>0.0023933613497167006</v>
      </c>
      <c r="AZ46" s="10">
        <f t="shared" si="12"/>
        <v>0.002395849423136879</v>
      </c>
      <c r="BA46" s="14"/>
      <c r="BB46" s="18">
        <f>BB40</f>
        <v>1</v>
      </c>
      <c r="BC46" s="12">
        <f>V43</f>
        <v>0.09999999999999987</v>
      </c>
      <c r="BD46" s="12">
        <f>X44</f>
        <v>0.05</v>
      </c>
      <c r="BE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</row>
    <row r="47" spans="1:96" ht="12.75">
      <c r="A47" s="12"/>
      <c r="B47" s="13"/>
      <c r="C47" s="12"/>
      <c r="D47" s="13"/>
      <c r="E47" s="12"/>
      <c r="F47" s="13"/>
      <c r="G47" s="12"/>
      <c r="H47" s="13"/>
      <c r="J47" s="12"/>
      <c r="K47" s="12"/>
      <c r="L47" s="12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J47" s="10"/>
      <c r="AK47" s="10"/>
      <c r="AL47" s="10"/>
      <c r="AM47" s="10"/>
      <c r="AN47" s="10"/>
      <c r="AO47" s="10"/>
      <c r="AP47" s="10"/>
      <c r="AQ47" s="10"/>
      <c r="AR47" s="14"/>
      <c r="AS47" s="10">
        <f>H49</f>
        <v>0.05986285824657687</v>
      </c>
      <c r="AT47" s="10">
        <f t="shared" si="7"/>
        <v>-2.8156990288405774</v>
      </c>
      <c r="AU47" s="10">
        <f>L49</f>
        <v>0.060096058531971926</v>
      </c>
      <c r="AV47" s="10">
        <f t="shared" si="8"/>
        <v>-0.16921241364561984</v>
      </c>
      <c r="AW47" s="10">
        <f t="shared" si="9"/>
        <v>0.1997861093900961</v>
      </c>
      <c r="AX47" s="10">
        <f t="shared" si="10"/>
        <v>0.03991448950523145</v>
      </c>
      <c r="AY47" s="10">
        <f t="shared" si="11"/>
        <v>0.0023987034975801683</v>
      </c>
      <c r="AZ47" s="10">
        <f t="shared" si="12"/>
        <v>0.003597521833077422</v>
      </c>
      <c r="BA47" s="14"/>
      <c r="BB47" s="18">
        <f>BB41</f>
        <v>2</v>
      </c>
      <c r="BC47" s="12">
        <f>AG45</f>
        <v>0.08943376265376925</v>
      </c>
      <c r="BD47" s="12">
        <f>AH46</f>
        <v>0.04998986708854918</v>
      </c>
      <c r="BE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</row>
    <row r="48" spans="1:96" ht="12.75">
      <c r="A48" s="12"/>
      <c r="B48" s="13"/>
      <c r="C48" s="12"/>
      <c r="D48" s="13"/>
      <c r="E48" s="12"/>
      <c r="F48" s="13"/>
      <c r="G48" s="12"/>
      <c r="H48" s="13"/>
      <c r="J48" s="12"/>
      <c r="K48" s="12"/>
      <c r="L48" s="12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F48" t="s">
        <v>43</v>
      </c>
      <c r="AG48">
        <f>G6</f>
        <v>0.09055385138137417</v>
      </c>
      <c r="AJ48" s="10"/>
      <c r="AK48" s="10"/>
      <c r="AL48" s="9" t="s">
        <v>49</v>
      </c>
      <c r="AM48" s="10">
        <f>SUM(AM39:AM46)</f>
        <v>-3.005974954399845</v>
      </c>
      <c r="AN48" s="10"/>
      <c r="AO48" s="10" t="s">
        <v>50</v>
      </c>
      <c r="AP48" s="10">
        <f>SUM(AP39:AP46)</f>
        <v>0.019589420006213082</v>
      </c>
      <c r="AR48" s="14"/>
      <c r="AS48" s="10">
        <f>H50</f>
        <v>0.04901156301362036</v>
      </c>
      <c r="AT48" s="10">
        <f t="shared" si="7"/>
        <v>-3.015699028840577</v>
      </c>
      <c r="AU48" s="10">
        <f>L50</f>
        <v>0.09716586797508618</v>
      </c>
      <c r="AV48" s="10">
        <f t="shared" si="8"/>
        <v>-0.29302301368891914</v>
      </c>
      <c r="AW48" s="10">
        <f t="shared" si="9"/>
        <v>-0.00021389060990362196</v>
      </c>
      <c r="AX48" s="10">
        <f t="shared" si="10"/>
        <v>4.5749193004943384E-08</v>
      </c>
      <c r="AY48" s="10">
        <f t="shared" si="11"/>
        <v>4.445260047485065E-09</v>
      </c>
      <c r="AZ48" s="10">
        <f t="shared" si="12"/>
        <v>0.004762251061034053</v>
      </c>
      <c r="BA48" s="14"/>
      <c r="BB48" s="18">
        <f>BB42</f>
        <v>3</v>
      </c>
      <c r="BC48" s="12">
        <f>AP49</f>
        <v>0.08080721916226108</v>
      </c>
      <c r="BD48" s="12">
        <f>AQ50</f>
        <v>0.04997734669731107</v>
      </c>
      <c r="BE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</row>
    <row r="49" spans="1:96" ht="12.75">
      <c r="A49" s="12">
        <f>1-A38</f>
        <v>0.5</v>
      </c>
      <c r="B49" s="13">
        <f>J4*C5</f>
        <v>0.04501660026875222</v>
      </c>
      <c r="C49" s="12">
        <f>P5</f>
        <v>0.6089501329298791</v>
      </c>
      <c r="D49" s="13">
        <f>D43</f>
        <v>0.049503314542371994</v>
      </c>
      <c r="E49" s="12">
        <f>P9</f>
        <v>0.5165018217515256</v>
      </c>
      <c r="F49" s="13">
        <f aca="true" t="shared" si="15" ref="F49:H52">F43</f>
        <v>0.05443721063009861</v>
      </c>
      <c r="G49" s="12">
        <f t="shared" si="15"/>
        <v>0.3821399105731719</v>
      </c>
      <c r="H49" s="13">
        <f t="shared" si="15"/>
        <v>0.05986285824657687</v>
      </c>
      <c r="J49" s="12">
        <f>A49*C49</f>
        <v>0.30447506646493955</v>
      </c>
      <c r="K49" s="12">
        <f>J49*E49</f>
        <v>0.15726192650705811</v>
      </c>
      <c r="L49" s="12">
        <f>K49*G49</f>
        <v>0.060096058531971926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J49" s="10"/>
      <c r="AK49" s="10"/>
      <c r="AL49" s="10"/>
      <c r="AM49" s="10"/>
      <c r="AN49" s="10"/>
      <c r="AO49" s="10" t="s">
        <v>54</v>
      </c>
      <c r="AP49" s="42">
        <f>(AP48/3)^0.5</f>
        <v>0.08080721916226108</v>
      </c>
      <c r="AQ49" s="10"/>
      <c r="AR49" s="14"/>
      <c r="AS49" s="10">
        <f>H51</f>
        <v>0.04901156301362036</v>
      </c>
      <c r="AT49" s="10">
        <f t="shared" si="7"/>
        <v>-3.015699028840577</v>
      </c>
      <c r="AU49" s="10">
        <f>L51</f>
        <v>0.08569864413027699</v>
      </c>
      <c r="AV49" s="10">
        <f t="shared" si="8"/>
        <v>-0.25844131787663055</v>
      </c>
      <c r="AW49" s="10">
        <f t="shared" si="9"/>
        <v>-0.00021389060990362196</v>
      </c>
      <c r="AX49" s="10">
        <f t="shared" si="10"/>
        <v>4.5749193004943384E-08</v>
      </c>
      <c r="AY49" s="10">
        <f t="shared" si="11"/>
        <v>3.920643810578E-09</v>
      </c>
      <c r="AZ49" s="10">
        <f t="shared" si="12"/>
        <v>0.0042002244969728975</v>
      </c>
      <c r="BA49" s="14"/>
      <c r="BB49" s="18">
        <f>BB43</f>
        <v>4</v>
      </c>
      <c r="BC49" s="12">
        <f>AY57</f>
        <v>0.07371098155393781</v>
      </c>
      <c r="BD49" s="12">
        <f>AZ58</f>
        <v>0.0495573124633776</v>
      </c>
      <c r="BE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</row>
    <row r="50" spans="1:96" ht="12.75">
      <c r="A50" s="12">
        <f>A49</f>
        <v>0.5</v>
      </c>
      <c r="B50" s="13">
        <f>B49</f>
        <v>0.04501660026875222</v>
      </c>
      <c r="C50" s="12">
        <f>C49</f>
        <v>0.6089501329298791</v>
      </c>
      <c r="D50" s="13">
        <f>D43</f>
        <v>0.049503314542371994</v>
      </c>
      <c r="E50" s="12">
        <f>E44</f>
        <v>0.5165018217515256</v>
      </c>
      <c r="F50" s="13">
        <f t="shared" si="15"/>
        <v>0.05443721063009861</v>
      </c>
      <c r="G50" s="12">
        <f t="shared" si="15"/>
        <v>0.617860089426828</v>
      </c>
      <c r="H50" s="13">
        <f t="shared" si="15"/>
        <v>0.04901156301362036</v>
      </c>
      <c r="J50" s="12">
        <f>A50*C50</f>
        <v>0.30447506646493955</v>
      </c>
      <c r="K50" s="12">
        <f>J50*E50</f>
        <v>0.15726192650705811</v>
      </c>
      <c r="L50" s="12">
        <f>K50*G50</f>
        <v>0.09716586797508618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J50" s="10"/>
      <c r="AK50" s="10"/>
      <c r="AL50" s="10"/>
      <c r="AM50" s="10"/>
      <c r="AN50" s="10"/>
      <c r="AO50" s="10" t="s">
        <v>31</v>
      </c>
      <c r="AP50" s="10"/>
      <c r="AQ50" s="42">
        <f>SUM(AQ39:AQ46)</f>
        <v>0.04997734669731107</v>
      </c>
      <c r="AR50" s="14"/>
      <c r="AS50" s="10">
        <f>H52</f>
        <v>0.040127273895670376</v>
      </c>
      <c r="AT50" s="10">
        <f t="shared" si="7"/>
        <v>-3.215699028840577</v>
      </c>
      <c r="AU50" s="10">
        <f>L52</f>
        <v>0.061514495827604446</v>
      </c>
      <c r="AV50" s="10">
        <f t="shared" si="8"/>
        <v>-0.19781210449244532</v>
      </c>
      <c r="AW50" s="10">
        <f t="shared" si="9"/>
        <v>-0.20021389060990336</v>
      </c>
      <c r="AX50" s="10">
        <f t="shared" si="10"/>
        <v>0.04008560199315435</v>
      </c>
      <c r="AY50" s="10">
        <f t="shared" si="11"/>
        <v>0.0024658455965549057</v>
      </c>
      <c r="AZ50" s="10">
        <f t="shared" si="12"/>
        <v>0.002468409022628356</v>
      </c>
      <c r="BA50" s="14"/>
      <c r="BB50" s="14"/>
      <c r="BC50" s="14"/>
      <c r="BD50" s="14"/>
      <c r="BE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</row>
    <row r="51" spans="1:96" ht="12.75">
      <c r="A51" s="12">
        <f>A49</f>
        <v>0.5</v>
      </c>
      <c r="B51" s="13">
        <f>B49</f>
        <v>0.04501660026875222</v>
      </c>
      <c r="C51" s="12">
        <f>C50</f>
        <v>0.6089501329298791</v>
      </c>
      <c r="D51" s="13">
        <f>D49</f>
        <v>0.049503314542371994</v>
      </c>
      <c r="E51" s="12">
        <f>E45</f>
        <v>0.4834981782484744</v>
      </c>
      <c r="F51" s="13">
        <f t="shared" si="15"/>
        <v>0.044569418454645376</v>
      </c>
      <c r="G51" s="12">
        <f t="shared" si="15"/>
        <v>0.5821399105731723</v>
      </c>
      <c r="H51" s="13">
        <f t="shared" si="15"/>
        <v>0.04901156301362036</v>
      </c>
      <c r="J51" s="12">
        <f>A51*C51</f>
        <v>0.30447506646493955</v>
      </c>
      <c r="K51" s="12">
        <f>J51*E51</f>
        <v>0.14721313995788143</v>
      </c>
      <c r="L51" s="12">
        <f>K51*G51</f>
        <v>0.08569864413027699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L51" s="14"/>
      <c r="AM51" s="14"/>
      <c r="AN51" s="14"/>
      <c r="AO51" s="14"/>
      <c r="AP51" s="14"/>
      <c r="AQ51" s="14"/>
      <c r="AR51" s="14"/>
      <c r="AS51" s="10">
        <f>H54</f>
        <v>0.04901156301362036</v>
      </c>
      <c r="AT51" s="10">
        <f t="shared" si="7"/>
        <v>-3.015699028840577</v>
      </c>
      <c r="AU51" s="10">
        <f>L54</f>
        <v>0.08155429179385834</v>
      </c>
      <c r="AV51" s="10">
        <f t="shared" si="8"/>
        <v>-0.24594319856051966</v>
      </c>
      <c r="AW51" s="10">
        <f t="shared" si="9"/>
        <v>-0.00021389060990362196</v>
      </c>
      <c r="AX51" s="10">
        <f t="shared" si="10"/>
        <v>4.5749193004943384E-08</v>
      </c>
      <c r="AY51" s="10">
        <f t="shared" si="11"/>
        <v>3.731043035658696E-09</v>
      </c>
      <c r="AZ51" s="10">
        <f t="shared" si="12"/>
        <v>0.0039971033112858705</v>
      </c>
      <c r="BA51" s="14"/>
      <c r="BB51" s="14"/>
      <c r="BC51" s="14"/>
      <c r="BD51" s="14"/>
      <c r="BE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</row>
    <row r="52" spans="1:96" ht="12.75">
      <c r="A52" s="12">
        <f>A51</f>
        <v>0.5</v>
      </c>
      <c r="B52" s="13">
        <f>B51</f>
        <v>0.04501660026875222</v>
      </c>
      <c r="C52" s="12">
        <f>C51</f>
        <v>0.6089501329298791</v>
      </c>
      <c r="D52" s="13">
        <f>D51</f>
        <v>0.049503314542371994</v>
      </c>
      <c r="E52" s="12">
        <f>E51</f>
        <v>0.4834981782484744</v>
      </c>
      <c r="F52" s="13">
        <f t="shared" si="15"/>
        <v>0.044569418454645376</v>
      </c>
      <c r="G52" s="12">
        <f t="shared" si="15"/>
        <v>0.41786008942682773</v>
      </c>
      <c r="H52" s="13">
        <f t="shared" si="15"/>
        <v>0.040127273895670376</v>
      </c>
      <c r="J52" s="12">
        <f>A52*C52</f>
        <v>0.30447506646493955</v>
      </c>
      <c r="K52" s="12">
        <f>J52*E52</f>
        <v>0.14721313995788143</v>
      </c>
      <c r="L52" s="12">
        <f>K52*G52</f>
        <v>0.061514495827604446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L52" s="14"/>
      <c r="AM52" s="14"/>
      <c r="AN52" s="14"/>
      <c r="AO52" s="14" t="s">
        <v>43</v>
      </c>
      <c r="AP52" s="21">
        <f>G7</f>
        <v>0.0826559132790873</v>
      </c>
      <c r="AQ52" s="14"/>
      <c r="AR52" s="14"/>
      <c r="AS52" s="10">
        <f>H55</f>
        <v>0.040127273895670376</v>
      </c>
      <c r="AT52" s="10">
        <f t="shared" si="7"/>
        <v>-3.215699028840577</v>
      </c>
      <c r="AU52" s="10">
        <f>L55</f>
        <v>0.05853967928185843</v>
      </c>
      <c r="AV52" s="10">
        <f t="shared" si="8"/>
        <v>-0.188245989815311</v>
      </c>
      <c r="AW52" s="10">
        <f t="shared" si="9"/>
        <v>-0.20021389060990336</v>
      </c>
      <c r="AX52" s="10">
        <f t="shared" si="10"/>
        <v>0.04008560199315435</v>
      </c>
      <c r="AY52" s="10">
        <f t="shared" si="11"/>
        <v>0.0023465982844994805</v>
      </c>
      <c r="AZ52" s="10">
        <f t="shared" si="12"/>
        <v>0.0023490377443078337</v>
      </c>
      <c r="BA52" s="14"/>
      <c r="BB52" s="14"/>
      <c r="BC52" s="14"/>
      <c r="BD52" s="14"/>
      <c r="BE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</row>
    <row r="53" spans="1:96" ht="12.75">
      <c r="A53" s="12"/>
      <c r="B53" s="13"/>
      <c r="C53" s="12"/>
      <c r="D53" s="13"/>
      <c r="E53" s="12"/>
      <c r="F53" s="13"/>
      <c r="G53" s="12"/>
      <c r="H53" s="13"/>
      <c r="J53" s="12"/>
      <c r="K53" s="12"/>
      <c r="L53" s="12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L53" s="14"/>
      <c r="AM53" s="14"/>
      <c r="AN53" s="14"/>
      <c r="AO53" s="14"/>
      <c r="AP53" s="14"/>
      <c r="AQ53" s="14"/>
      <c r="AR53" s="14"/>
      <c r="AS53" s="10">
        <f>H56</f>
        <v>0.040127273895670376</v>
      </c>
      <c r="AT53" s="10">
        <f t="shared" si="7"/>
        <v>-3.215699028840577</v>
      </c>
      <c r="AU53" s="10">
        <f>L56</f>
        <v>0.043354768020935915</v>
      </c>
      <c r="AV53" s="10">
        <f t="shared" si="8"/>
        <v>-0.13941588542053213</v>
      </c>
      <c r="AW53" s="10">
        <f t="shared" si="9"/>
        <v>-0.20021389060990336</v>
      </c>
      <c r="AX53" s="10">
        <f t="shared" si="10"/>
        <v>0.04008560199315435</v>
      </c>
      <c r="AY53" s="10">
        <f t="shared" si="11"/>
        <v>0.001737901975392773</v>
      </c>
      <c r="AZ53" s="10">
        <f t="shared" si="12"/>
        <v>0.0017397086510593466</v>
      </c>
      <c r="BA53" s="14"/>
      <c r="BB53" s="14"/>
      <c r="BC53" s="14"/>
      <c r="BD53" s="14"/>
      <c r="BE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</row>
    <row r="54" spans="1:96" ht="12.75">
      <c r="A54" s="12">
        <f>A51</f>
        <v>0.5</v>
      </c>
      <c r="B54" s="13">
        <f>B51</f>
        <v>0.04501660026875222</v>
      </c>
      <c r="C54" s="12">
        <f>1-C49</f>
        <v>0.3910498670701209</v>
      </c>
      <c r="D54" s="13">
        <f>L10*$C$6</f>
        <v>0.04052988599513244</v>
      </c>
      <c r="E54" s="12">
        <f>P10</f>
        <v>0.7165018217515255</v>
      </c>
      <c r="F54" s="13">
        <f>F52</f>
        <v>0.044569418454645376</v>
      </c>
      <c r="G54" s="12">
        <f>G51</f>
        <v>0.5821399105731723</v>
      </c>
      <c r="H54" s="13">
        <f>H51</f>
        <v>0.04901156301362036</v>
      </c>
      <c r="J54" s="12">
        <f>A54*C54</f>
        <v>0.19552493353506045</v>
      </c>
      <c r="K54" s="12">
        <f>J54*E54</f>
        <v>0.14009397107571678</v>
      </c>
      <c r="L54" s="12">
        <f>K54*G54</f>
        <v>0.08155429179385834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L54" s="14"/>
      <c r="AM54" s="14"/>
      <c r="AN54" s="14"/>
      <c r="AO54" s="14"/>
      <c r="AP54" s="14"/>
      <c r="AQ54" s="14"/>
      <c r="AR54" s="14"/>
      <c r="AS54" s="10">
        <f>H57</f>
        <v>0.03285343317556866</v>
      </c>
      <c r="AT54" s="10">
        <f t="shared" si="7"/>
        <v>-3.4156990288405766</v>
      </c>
      <c r="AU54" s="10">
        <f>L57</f>
        <v>0.012076194438407774</v>
      </c>
      <c r="AV54" s="10">
        <f t="shared" si="8"/>
        <v>-0.0412486456153594</v>
      </c>
      <c r="AW54" s="10">
        <f t="shared" si="9"/>
        <v>-0.4002138906099031</v>
      </c>
      <c r="AX54" s="10">
        <f t="shared" si="10"/>
        <v>0.16017115823711547</v>
      </c>
      <c r="AY54" s="10">
        <f t="shared" si="11"/>
        <v>0.0019342580502963854</v>
      </c>
      <c r="AZ54" s="10">
        <f t="shared" si="12"/>
        <v>0.0003967444469974037</v>
      </c>
      <c r="BA54" s="14"/>
      <c r="BB54" s="14"/>
      <c r="BC54" s="14"/>
      <c r="BD54" s="14"/>
      <c r="BE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</row>
    <row r="55" spans="1:96" ht="12.75">
      <c r="A55" s="12">
        <f aca="true" t="shared" si="16" ref="A55:F55">A54</f>
        <v>0.5</v>
      </c>
      <c r="B55" s="13">
        <f t="shared" si="16"/>
        <v>0.04501660026875222</v>
      </c>
      <c r="C55" s="12">
        <f t="shared" si="16"/>
        <v>0.3910498670701209</v>
      </c>
      <c r="D55" s="13">
        <f t="shared" si="16"/>
        <v>0.04052988599513244</v>
      </c>
      <c r="E55" s="12">
        <f t="shared" si="16"/>
        <v>0.7165018217515255</v>
      </c>
      <c r="F55" s="13">
        <f t="shared" si="16"/>
        <v>0.044569418454645376</v>
      </c>
      <c r="G55" s="12">
        <f>G52</f>
        <v>0.41786008942682773</v>
      </c>
      <c r="H55" s="13">
        <f>H52</f>
        <v>0.040127273895670376</v>
      </c>
      <c r="J55" s="12">
        <f>A55*C55</f>
        <v>0.19552493353506045</v>
      </c>
      <c r="K55" s="12">
        <f>J55*E55</f>
        <v>0.14009397107571678</v>
      </c>
      <c r="L55" s="12">
        <f>K55*G55</f>
        <v>0.05853967928185843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L55" s="14"/>
      <c r="AM55" s="14"/>
      <c r="AN55" s="14"/>
      <c r="AO55" s="14"/>
      <c r="AP55" s="14"/>
      <c r="AQ55" s="14"/>
      <c r="AR55" s="14"/>
      <c r="AS55" s="10"/>
      <c r="AT55" s="10"/>
      <c r="AU55" s="10"/>
      <c r="AV55" s="10"/>
      <c r="AW55" s="10"/>
      <c r="AX55" s="10"/>
      <c r="AY55" s="10"/>
      <c r="AZ55" s="10"/>
      <c r="BA55" s="14"/>
      <c r="BB55" s="14"/>
      <c r="BC55" s="14"/>
      <c r="BD55" s="14"/>
      <c r="BE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</row>
    <row r="56" spans="1:96" ht="12.75">
      <c r="A56" s="12">
        <f>A54</f>
        <v>0.5</v>
      </c>
      <c r="B56" s="13">
        <f>B54</f>
        <v>0.04501660026875222</v>
      </c>
      <c r="C56" s="12">
        <f>C55</f>
        <v>0.3910498670701209</v>
      </c>
      <c r="D56" s="13">
        <f>D54</f>
        <v>0.04052988599513244</v>
      </c>
      <c r="E56" s="12">
        <f>1-E54</f>
        <v>0.28349817824847445</v>
      </c>
      <c r="F56" s="13">
        <f>C7*L16</f>
        <v>0.03649035353561952</v>
      </c>
      <c r="G56" s="12">
        <f>P17</f>
        <v>0.7821399105731718</v>
      </c>
      <c r="H56" s="13">
        <f>H55</f>
        <v>0.040127273895670376</v>
      </c>
      <c r="J56" s="12">
        <f>A56*C56</f>
        <v>0.19552493353506045</v>
      </c>
      <c r="K56" s="12">
        <f>J56*E56</f>
        <v>0.05543096245934369</v>
      </c>
      <c r="L56" s="12">
        <f>K56*G56</f>
        <v>0.043354768020935915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L56" s="14"/>
      <c r="AM56" s="14"/>
      <c r="AN56" s="14"/>
      <c r="AO56" s="14"/>
      <c r="AP56" s="14"/>
      <c r="AQ56" s="14"/>
      <c r="AR56" s="14"/>
      <c r="AS56" s="10"/>
      <c r="AT56" s="10"/>
      <c r="AU56" s="9" t="s">
        <v>49</v>
      </c>
      <c r="AV56" s="10">
        <f>SUM(AV39:AV54)</f>
        <v>-3.0154851382306735</v>
      </c>
      <c r="AW56" s="10"/>
      <c r="AX56" s="10" t="s">
        <v>50</v>
      </c>
      <c r="AY56" s="10">
        <f>SUM(AY39:AY54)</f>
        <v>0.02173323520657984</v>
      </c>
      <c r="BA56" s="14"/>
      <c r="BB56" s="14"/>
      <c r="BC56" s="14"/>
      <c r="BD56" s="14"/>
      <c r="BE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</row>
    <row r="57" spans="1:96" ht="12.75">
      <c r="A57" s="12">
        <f>A56</f>
        <v>0.5</v>
      </c>
      <c r="B57" s="13">
        <f>B56</f>
        <v>0.04501660026875222</v>
      </c>
      <c r="C57" s="12">
        <f>C56</f>
        <v>0.3910498670701209</v>
      </c>
      <c r="D57" s="13">
        <f>D54</f>
        <v>0.04052988599513244</v>
      </c>
      <c r="E57" s="12">
        <f>E56</f>
        <v>0.28349817824847445</v>
      </c>
      <c r="F57" s="13">
        <f>F56</f>
        <v>0.03649035353561952</v>
      </c>
      <c r="G57" s="12">
        <f>1-G56</f>
        <v>0.21786008942682822</v>
      </c>
      <c r="H57" s="13">
        <f>C8*L23</f>
        <v>0.03285343317556866</v>
      </c>
      <c r="J57" s="12">
        <f>A57*C57</f>
        <v>0.19552493353506045</v>
      </c>
      <c r="K57" s="12">
        <f>J57*E57</f>
        <v>0.05543096245934369</v>
      </c>
      <c r="L57" s="12">
        <f>K57*G57</f>
        <v>0.012076194438407774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L57" s="14"/>
      <c r="AM57" s="14"/>
      <c r="AN57" s="14"/>
      <c r="AO57" s="14"/>
      <c r="AP57" s="14"/>
      <c r="AQ57" s="14"/>
      <c r="AR57" s="14"/>
      <c r="AS57" s="10"/>
      <c r="AT57" s="10"/>
      <c r="AU57" s="10"/>
      <c r="AV57" s="10"/>
      <c r="AW57" s="10"/>
      <c r="AX57" s="10" t="s">
        <v>54</v>
      </c>
      <c r="AY57" s="42">
        <f>(AY56/4)^0.5</f>
        <v>0.07371098155393781</v>
      </c>
      <c r="AZ57" s="10"/>
      <c r="BA57" s="14"/>
      <c r="BB57" s="14"/>
      <c r="BC57" s="14"/>
      <c r="BD57" s="14"/>
      <c r="BE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</row>
    <row r="58" spans="1:96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L58" s="14"/>
      <c r="AM58" s="14"/>
      <c r="AN58" s="14"/>
      <c r="AO58" s="14"/>
      <c r="AP58" s="14"/>
      <c r="AQ58" s="14"/>
      <c r="AR58" s="14"/>
      <c r="AS58" s="10"/>
      <c r="AT58" s="10"/>
      <c r="AU58" s="10"/>
      <c r="AV58" s="10"/>
      <c r="AW58" s="10"/>
      <c r="AX58" s="10" t="s">
        <v>31</v>
      </c>
      <c r="AY58" s="10"/>
      <c r="AZ58" s="22">
        <f>SUM(AZ39:AZ54)</f>
        <v>0.0495573124633776</v>
      </c>
      <c r="BA58" s="14"/>
      <c r="BB58" s="14"/>
      <c r="BC58" s="14"/>
      <c r="BD58" s="14"/>
      <c r="BE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</row>
    <row r="59" spans="1:96" ht="12.75">
      <c r="A59" s="14"/>
      <c r="B59" s="14"/>
      <c r="C59" s="14"/>
      <c r="D59" s="5"/>
      <c r="E59" s="14"/>
      <c r="F59" s="14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</row>
    <row r="60" spans="17:96" ht="12.75"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8"/>
      <c r="AT60" s="14"/>
      <c r="AU60" s="8"/>
      <c r="AV60" s="8"/>
      <c r="AW60" s="8"/>
      <c r="AX60" s="8"/>
      <c r="AY60" s="8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</row>
    <row r="61" spans="17:96" ht="12.75"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8"/>
      <c r="AT61" s="14"/>
      <c r="AU61" s="8"/>
      <c r="AV61" s="8"/>
      <c r="AW61" s="8"/>
      <c r="AX61" s="8"/>
      <c r="AY61" s="8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</row>
    <row r="62" spans="17:96" ht="12.75"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</row>
    <row r="63" spans="17:96" ht="12.75"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8"/>
      <c r="AS63" s="8"/>
      <c r="AT63" s="8"/>
      <c r="AU63" s="8"/>
      <c r="AV63" s="8"/>
      <c r="AW63" s="8"/>
      <c r="AX63" s="8"/>
      <c r="AY63" s="8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</row>
    <row r="64" spans="17:96" ht="12.75"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8"/>
      <c r="AS64" s="8"/>
      <c r="AT64" s="8"/>
      <c r="AU64" s="8"/>
      <c r="AV64" s="8"/>
      <c r="AW64" s="8"/>
      <c r="AX64" s="8"/>
      <c r="AY64" s="8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Stapleton</dc:creator>
  <cp:keywords/>
  <dc:description/>
  <cp:lastModifiedBy>Dick Stapleton</cp:lastModifiedBy>
  <dcterms:created xsi:type="dcterms:W3CDTF">1999-07-16T09:25:20Z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